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1.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trlProps/ctrlProp1.xml" ContentType="application/vnd.ms-excel.controlproperties+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harts/chart12.xml" ContentType="application/vnd.openxmlformats-officedocument.drawingml.chart+xml"/>
  <Override PartName="/xl/drawings/drawing11.xml" ContentType="application/vnd.openxmlformats-officedocument.drawing+xml"/>
  <Override PartName="/xl/charts/chart13.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DieseArbeitsmappe"/>
  <bookViews>
    <workbookView xWindow="-15" yWindow="5460" windowWidth="12000" windowHeight="5475" tabRatio="601" firstSheet="36" activeTab="36"/>
  </bookViews>
  <sheets>
    <sheet name="Übersicht" sheetId="21012" r:id="rId1"/>
    <sheet name="Beisp. 2.1.1 - 2.1.2" sheetId="1" r:id="rId2"/>
    <sheet name="Beisp. 2.1.3" sheetId="2" r:id="rId3"/>
    <sheet name="Beisp. 2.1.4" sheetId="3" r:id="rId4"/>
    <sheet name="Beisp. 2.1.5" sheetId="4" r:id="rId5"/>
    <sheet name="Beisp. 2.2.1 bis 2.2.3" sheetId="6" r:id="rId6"/>
    <sheet name="Bem. 4 nach Beisp. 2.2.3" sheetId="7" r:id="rId7"/>
    <sheet name="Beisp. 2.2.4 - 2.2.6" sheetId="8" r:id="rId8"/>
    <sheet name="Beisp. 2.2. 7" sheetId="13" r:id="rId9"/>
    <sheet name="Beisp. 2.2.7Fortsetzung" sheetId="21009" r:id="rId10"/>
    <sheet name="Beisp. 2.2.8" sheetId="10" r:id="rId11"/>
    <sheet name="Beisp. 2.3.1 " sheetId="15" r:id="rId12"/>
    <sheet name="Beisp. 2.3.2" sheetId="16" r:id="rId13"/>
    <sheet name="Beisp. 2.3.3" sheetId="20" r:id="rId14"/>
    <sheet name="Beisp. 2.3.4" sheetId="21008" r:id="rId15"/>
    <sheet name="Beisp. 2.3.5" sheetId="22" r:id="rId16"/>
    <sheet name="Beisp. 2.4.1 u. 2.4.3" sheetId="24" r:id="rId17"/>
    <sheet name="Beisp. 2.4.2 u.2.4.4" sheetId="25" r:id="rId18"/>
    <sheet name="Beisp. 2.5.1" sheetId="26" r:id="rId19"/>
    <sheet name="Beisp. 2.5.2" sheetId="27" r:id="rId20"/>
    <sheet name="Beisp. 2.5.3" sheetId="28" r:id="rId21"/>
    <sheet name="Beisp. 2.5.4" sheetId="21010" r:id="rId22"/>
    <sheet name="Beisp. 2.6.1 u. 2.6.2" sheetId="29" r:id="rId23"/>
    <sheet name="Beisp. 2.6.3" sheetId="30" r:id="rId24"/>
    <sheet name="Beisp. 2.7.1" sheetId="31" r:id="rId25"/>
    <sheet name="Beisp. 2.7.2 - 2.7.3" sheetId="32" r:id="rId26"/>
    <sheet name="Beisp. 2.8.1 u. Abb. 2.8.2" sheetId="33" r:id="rId27"/>
    <sheet name="Beisp. 2.8.1 u. Abb. 2.8.2 (2)" sheetId="21013" r:id="rId28"/>
    <sheet name="Abb. 2.8.3" sheetId="19" r:id="rId29"/>
    <sheet name="Beisp. 2.8.2" sheetId="18" r:id="rId30"/>
    <sheet name="Zinseszinseffekt" sheetId="21014" r:id="rId31"/>
    <sheet name="Beisp. 2.8.3" sheetId="34" r:id="rId32"/>
    <sheet name="Beisp. 2.9.1 - 2.9.2" sheetId="14" r:id="rId33"/>
    <sheet name="Aufg. 2.2" sheetId="35" r:id="rId34"/>
    <sheet name="Aufg. 2.3 " sheetId="36" r:id="rId35"/>
    <sheet name="Aufg. 2.4" sheetId="37" r:id="rId36"/>
    <sheet name="Aufg. 2.5 und 2.6" sheetId="38" r:id="rId37"/>
    <sheet name="Aufg. 2.7" sheetId="39" r:id="rId38"/>
    <sheet name="Aufg. 2.8" sheetId="41" r:id="rId39"/>
    <sheet name="Aufg. 2.9" sheetId="42" r:id="rId40"/>
    <sheet name="Aufg. 2.10" sheetId="21004" r:id="rId41"/>
    <sheet name="Aufg. 2.11" sheetId="484" r:id="rId42"/>
    <sheet name="Aufg. 2.12" sheetId="21005" r:id="rId43"/>
  </sheets>
  <definedNames>
    <definedName name="Grundwert">'Beisp. 2.1.1 - 2.1.2'!$B$3</definedName>
    <definedName name="Jahreslänge" localSheetId="41">#REF!</definedName>
    <definedName name="Jahreslänge" localSheetId="9">#REF!</definedName>
    <definedName name="Kurss" localSheetId="41">#REF!</definedName>
    <definedName name="Kurss" localSheetId="9">#REF!</definedName>
    <definedName name="Nennwert" localSheetId="41">#REF!</definedName>
    <definedName name="Nennwert" localSheetId="9">#REF!</definedName>
    <definedName name="Nominalzinssatz" localSheetId="41">#REF!</definedName>
    <definedName name="Nominalzinssatz" localSheetId="9">#REF!</definedName>
    <definedName name="solver_adj" localSheetId="40" hidden="1">'Aufg. 2.10'!#REF!</definedName>
    <definedName name="solver_adj" localSheetId="18" hidden="1">'Beisp. 2.5.1'!#REF!</definedName>
    <definedName name="solver_adj" localSheetId="19" hidden="1">'Beisp. 2.5.2'!#REF!</definedName>
    <definedName name="solver_adj" localSheetId="20" hidden="1">'Beisp. 2.5.3'!#REF!</definedName>
    <definedName name="solver_adj" localSheetId="21" hidden="1">'Beisp. 2.5.4'!#REF!</definedName>
    <definedName name="solver_drv" localSheetId="40" hidden="1">1</definedName>
    <definedName name="solver_drv" localSheetId="18" hidden="1">1</definedName>
    <definedName name="solver_drv" localSheetId="19" hidden="1">1</definedName>
    <definedName name="solver_drv" localSheetId="20" hidden="1">1</definedName>
    <definedName name="solver_drv" localSheetId="21" hidden="1">1</definedName>
    <definedName name="solver_est" localSheetId="40" hidden="1">1</definedName>
    <definedName name="solver_est" localSheetId="18" hidden="1">1</definedName>
    <definedName name="solver_est" localSheetId="19" hidden="1">1</definedName>
    <definedName name="solver_est" localSheetId="20" hidden="1">1</definedName>
    <definedName name="solver_est" localSheetId="21" hidden="1">1</definedName>
    <definedName name="solver_itr" localSheetId="40" hidden="1">100</definedName>
    <definedName name="solver_itr" localSheetId="18" hidden="1">100</definedName>
    <definedName name="solver_itr" localSheetId="19" hidden="1">100</definedName>
    <definedName name="solver_itr" localSheetId="20" hidden="1">100</definedName>
    <definedName name="solver_itr" localSheetId="21" hidden="1">100</definedName>
    <definedName name="solver_lin" localSheetId="40" hidden="1">2</definedName>
    <definedName name="solver_lin" localSheetId="18" hidden="1">2</definedName>
    <definedName name="solver_lin" localSheetId="19" hidden="1">2</definedName>
    <definedName name="solver_lin" localSheetId="20" hidden="1">2</definedName>
    <definedName name="solver_lin" localSheetId="21" hidden="1">2</definedName>
    <definedName name="solver_num" localSheetId="40" hidden="1">0</definedName>
    <definedName name="solver_num" localSheetId="18" hidden="1">0</definedName>
    <definedName name="solver_num" localSheetId="19" hidden="1">0</definedName>
    <definedName name="solver_num" localSheetId="20" hidden="1">0</definedName>
    <definedName name="solver_num" localSheetId="21" hidden="1">0</definedName>
    <definedName name="solver_nwt" localSheetId="40" hidden="1">1</definedName>
    <definedName name="solver_nwt" localSheetId="18" hidden="1">1</definedName>
    <definedName name="solver_nwt" localSheetId="19" hidden="1">1</definedName>
    <definedName name="solver_nwt" localSheetId="20" hidden="1">1</definedName>
    <definedName name="solver_nwt" localSheetId="21" hidden="1">1</definedName>
    <definedName name="solver_opt" localSheetId="40" hidden="1">'Aufg. 2.10'!#REF!</definedName>
    <definedName name="solver_opt" localSheetId="18" hidden="1">'Beisp. 2.5.1'!#REF!</definedName>
    <definedName name="solver_opt" localSheetId="19" hidden="1">'Beisp. 2.5.2'!#REF!</definedName>
    <definedName name="solver_opt" localSheetId="20" hidden="1">'Beisp. 2.5.3'!#REF!</definedName>
    <definedName name="solver_opt" localSheetId="21" hidden="1">'Beisp. 2.5.4'!#REF!</definedName>
    <definedName name="solver_pre" localSheetId="40" hidden="1">0.000001</definedName>
    <definedName name="solver_pre" localSheetId="18" hidden="1">0.000001</definedName>
    <definedName name="solver_pre" localSheetId="19" hidden="1">0.000001</definedName>
    <definedName name="solver_pre" localSheetId="20" hidden="1">0.000001</definedName>
    <definedName name="solver_pre" localSheetId="21" hidden="1">0.000001</definedName>
    <definedName name="solver_scl" localSheetId="40" hidden="1">2</definedName>
    <definedName name="solver_scl" localSheetId="18" hidden="1">2</definedName>
    <definedName name="solver_scl" localSheetId="19" hidden="1">2</definedName>
    <definedName name="solver_scl" localSheetId="20" hidden="1">2</definedName>
    <definedName name="solver_scl" localSheetId="21" hidden="1">2</definedName>
    <definedName name="solver_sho" localSheetId="40" hidden="1">2</definedName>
    <definedName name="solver_sho" localSheetId="18" hidden="1">2</definedName>
    <definedName name="solver_sho" localSheetId="19" hidden="1">2</definedName>
    <definedName name="solver_sho" localSheetId="20" hidden="1">2</definedName>
    <definedName name="solver_sho" localSheetId="21" hidden="1">2</definedName>
    <definedName name="solver_tim" localSheetId="40" hidden="1">100</definedName>
    <definedName name="solver_tim" localSheetId="18" hidden="1">100</definedName>
    <definedName name="solver_tim" localSheetId="19" hidden="1">100</definedName>
    <definedName name="solver_tim" localSheetId="20" hidden="1">100</definedName>
    <definedName name="solver_tim" localSheetId="21" hidden="1">100</definedName>
    <definedName name="solver_tol" localSheetId="40" hidden="1">0.05</definedName>
    <definedName name="solver_tol" localSheetId="18" hidden="1">0.05</definedName>
    <definedName name="solver_tol" localSheetId="19" hidden="1">0.05</definedName>
    <definedName name="solver_tol" localSheetId="20" hidden="1">0.05</definedName>
    <definedName name="solver_tol" localSheetId="21" hidden="1">0.05</definedName>
    <definedName name="solver_typ" localSheetId="40" hidden="1">2</definedName>
    <definedName name="solver_typ" localSheetId="18" hidden="1">2</definedName>
    <definedName name="solver_typ" localSheetId="19" hidden="1">2</definedName>
    <definedName name="solver_typ" localSheetId="20" hidden="1">2</definedName>
    <definedName name="solver_typ" localSheetId="21" hidden="1">2</definedName>
    <definedName name="solver_val" localSheetId="40" hidden="1">0</definedName>
    <definedName name="solver_val" localSheetId="18" hidden="1">0</definedName>
    <definedName name="solver_val" localSheetId="19" hidden="1">0</definedName>
    <definedName name="solver_val" localSheetId="20" hidden="1">0</definedName>
    <definedName name="solver_val" localSheetId="21" hidden="1">0</definedName>
    <definedName name="Zinstage" localSheetId="41">#REF!</definedName>
    <definedName name="Zinstage" localSheetId="9">#REF!</definedName>
  </definedNames>
  <calcPr calcId="145621"/>
</workbook>
</file>

<file path=xl/calcChain.xml><?xml version="1.0" encoding="utf-8"?>
<calcChain xmlns="http://schemas.openxmlformats.org/spreadsheetml/2006/main">
  <c r="O5" i="39" l="1"/>
  <c r="Q10" i="39"/>
  <c r="S10" i="39" s="1"/>
  <c r="P10" i="39"/>
  <c r="P11" i="39" s="1"/>
  <c r="P12" i="39" s="1"/>
  <c r="P13" i="39" s="1"/>
  <c r="P14" i="39" s="1"/>
  <c r="P15" i="39" s="1"/>
  <c r="P16" i="39" s="1"/>
  <c r="P17" i="39" s="1"/>
  <c r="P18" i="39" s="1"/>
  <c r="P19" i="39" s="1"/>
  <c r="P20" i="39" s="1"/>
  <c r="P21" i="39" s="1"/>
  <c r="P22" i="39" s="1"/>
  <c r="P23" i="39" s="1"/>
  <c r="P24" i="39" s="1"/>
  <c r="P25" i="39" s="1"/>
  <c r="Q11" i="39" l="1"/>
  <c r="S11" i="39" s="1"/>
  <c r="R10" i="39"/>
  <c r="A9" i="21014"/>
  <c r="C9" i="21014"/>
  <c r="F9" i="21014" s="1"/>
  <c r="D9" i="21014"/>
  <c r="D17" i="21014" s="1"/>
  <c r="G9" i="21014"/>
  <c r="H9" i="21014"/>
  <c r="H17" i="21014" s="1"/>
  <c r="K9" i="21014"/>
  <c r="L9" i="21014"/>
  <c r="L17" i="21014" s="1"/>
  <c r="O9" i="21014"/>
  <c r="P9" i="21014"/>
  <c r="P17" i="21014" s="1"/>
  <c r="S9" i="21014"/>
  <c r="A10" i="21014"/>
  <c r="D10" i="21014"/>
  <c r="E10" i="21014"/>
  <c r="F10" i="21014"/>
  <c r="G10" i="21014"/>
  <c r="G18" i="21014" s="1"/>
  <c r="H10" i="21014"/>
  <c r="I10" i="21014"/>
  <c r="J10" i="21014"/>
  <c r="K10" i="21014"/>
  <c r="K18" i="21014" s="1"/>
  <c r="L10" i="21014"/>
  <c r="M10" i="21014"/>
  <c r="N10" i="21014"/>
  <c r="O10" i="21014"/>
  <c r="O18" i="21014" s="1"/>
  <c r="P10" i="21014"/>
  <c r="Q10" i="21014"/>
  <c r="R10" i="21014"/>
  <c r="S10" i="21014"/>
  <c r="S18" i="21014" s="1"/>
  <c r="A11" i="21014"/>
  <c r="C11" i="21014"/>
  <c r="D11" i="21014"/>
  <c r="D18" i="21014" s="1"/>
  <c r="E11" i="21014"/>
  <c r="E18" i="21014" s="1"/>
  <c r="F11" i="21014"/>
  <c r="G11" i="21014"/>
  <c r="H11" i="21014"/>
  <c r="H18" i="21014" s="1"/>
  <c r="I11" i="21014"/>
  <c r="I18" i="21014" s="1"/>
  <c r="J11" i="21014"/>
  <c r="K11" i="21014"/>
  <c r="L11" i="21014"/>
  <c r="L18" i="21014" s="1"/>
  <c r="M11" i="21014"/>
  <c r="M18" i="21014" s="1"/>
  <c r="N11" i="21014"/>
  <c r="O11" i="21014"/>
  <c r="P11" i="21014"/>
  <c r="P18" i="21014" s="1"/>
  <c r="Q11" i="21014"/>
  <c r="Q18" i="21014" s="1"/>
  <c r="R11" i="21014"/>
  <c r="S11" i="21014"/>
  <c r="A12" i="21014"/>
  <c r="C12" i="21014"/>
  <c r="C19" i="21014" s="1"/>
  <c r="D12" i="21014"/>
  <c r="E12" i="21014"/>
  <c r="F12" i="21014"/>
  <c r="F19" i="21014" s="1"/>
  <c r="G12" i="21014"/>
  <c r="G19" i="21014" s="1"/>
  <c r="H12" i="21014"/>
  <c r="I12" i="21014"/>
  <c r="J12" i="21014"/>
  <c r="J19" i="21014" s="1"/>
  <c r="K12" i="21014"/>
  <c r="K19" i="21014" s="1"/>
  <c r="L12" i="21014"/>
  <c r="M12" i="21014"/>
  <c r="N12" i="21014"/>
  <c r="N19" i="21014" s="1"/>
  <c r="O12" i="21014"/>
  <c r="O19" i="21014" s="1"/>
  <c r="P12" i="21014"/>
  <c r="Q12" i="21014"/>
  <c r="R12" i="21014"/>
  <c r="R19" i="21014" s="1"/>
  <c r="S12" i="21014"/>
  <c r="S19" i="21014" s="1"/>
  <c r="C15" i="21014"/>
  <c r="D15" i="21014"/>
  <c r="E15" i="21014"/>
  <c r="F15" i="21014"/>
  <c r="G15" i="21014"/>
  <c r="H15" i="21014"/>
  <c r="I15" i="21014"/>
  <c r="J15" i="21014"/>
  <c r="K15" i="21014"/>
  <c r="L15" i="21014"/>
  <c r="M15" i="21014"/>
  <c r="N15" i="21014"/>
  <c r="O15" i="21014"/>
  <c r="P15" i="21014"/>
  <c r="Q15" i="21014"/>
  <c r="R15" i="21014"/>
  <c r="S15" i="21014"/>
  <c r="C16" i="21014"/>
  <c r="D16" i="21014"/>
  <c r="G16" i="21014"/>
  <c r="H16" i="21014"/>
  <c r="K16" i="21014"/>
  <c r="L16" i="21014"/>
  <c r="O16" i="21014"/>
  <c r="P16" i="21014"/>
  <c r="S16" i="21014"/>
  <c r="C17" i="21014"/>
  <c r="G17" i="21014"/>
  <c r="K17" i="21014"/>
  <c r="O17" i="21014"/>
  <c r="S17" i="21014"/>
  <c r="C18" i="21014"/>
  <c r="F18" i="21014"/>
  <c r="J18" i="21014"/>
  <c r="N18" i="21014"/>
  <c r="R18" i="21014"/>
  <c r="D19" i="21014"/>
  <c r="E19" i="21014"/>
  <c r="H19" i="21014"/>
  <c r="I19" i="21014"/>
  <c r="L19" i="21014"/>
  <c r="M19" i="21014"/>
  <c r="P19" i="21014"/>
  <c r="Q19" i="21014"/>
  <c r="R11" i="39" l="1"/>
  <c r="Q12" i="39"/>
  <c r="Q13" i="39" s="1"/>
  <c r="S21" i="21014"/>
  <c r="F16" i="21014"/>
  <c r="F17" i="21014"/>
  <c r="Q9" i="21014"/>
  <c r="M9" i="21014"/>
  <c r="I9" i="21014"/>
  <c r="E9" i="21014"/>
  <c r="R9" i="21014"/>
  <c r="N9" i="21014"/>
  <c r="J9" i="21014"/>
  <c r="S12" i="39" l="1"/>
  <c r="R12" i="39"/>
  <c r="Q14" i="39"/>
  <c r="S13" i="39"/>
  <c r="R13" i="39"/>
  <c r="J16" i="21014"/>
  <c r="J17" i="21014"/>
  <c r="I17" i="21014"/>
  <c r="I16" i="21014"/>
  <c r="N16" i="21014"/>
  <c r="N17" i="21014"/>
  <c r="M17" i="21014"/>
  <c r="M16" i="21014"/>
  <c r="R16" i="21014"/>
  <c r="R17" i="21014"/>
  <c r="Q17" i="21014"/>
  <c r="Q16" i="21014"/>
  <c r="E17" i="21014"/>
  <c r="E16" i="21014"/>
  <c r="I50" i="21013"/>
  <c r="H50" i="21013"/>
  <c r="G50" i="21013"/>
  <c r="I49" i="21013"/>
  <c r="H49" i="21013"/>
  <c r="G49" i="21013"/>
  <c r="I48" i="21013"/>
  <c r="H48" i="21013"/>
  <c r="G48" i="21013"/>
  <c r="I47" i="21013"/>
  <c r="H47" i="21013"/>
  <c r="G47" i="21013"/>
  <c r="I46" i="21013"/>
  <c r="H46" i="21013"/>
  <c r="G46" i="21013"/>
  <c r="I45" i="21013"/>
  <c r="H45" i="21013"/>
  <c r="G45" i="21013"/>
  <c r="I44" i="21013"/>
  <c r="H44" i="21013"/>
  <c r="G44" i="21013"/>
  <c r="I43" i="21013"/>
  <c r="H43" i="21013"/>
  <c r="G43" i="21013"/>
  <c r="I42" i="21013"/>
  <c r="H42" i="21013"/>
  <c r="G42" i="21013"/>
  <c r="I41" i="21013"/>
  <c r="H41" i="21013"/>
  <c r="G41" i="21013"/>
  <c r="I40" i="21013"/>
  <c r="H40" i="21013"/>
  <c r="G40" i="21013"/>
  <c r="I39" i="21013"/>
  <c r="H39" i="21013"/>
  <c r="G39" i="21013"/>
  <c r="I38" i="21013"/>
  <c r="H38" i="21013"/>
  <c r="G38" i="21013"/>
  <c r="I37" i="21013"/>
  <c r="H37" i="21013"/>
  <c r="G37" i="21013"/>
  <c r="I36" i="21013"/>
  <c r="H36" i="21013"/>
  <c r="G36" i="21013"/>
  <c r="I35" i="21013"/>
  <c r="H35" i="21013"/>
  <c r="G35" i="21013"/>
  <c r="I34" i="21013"/>
  <c r="H34" i="21013"/>
  <c r="G34" i="21013"/>
  <c r="I33" i="21013"/>
  <c r="H33" i="21013"/>
  <c r="G33" i="21013"/>
  <c r="I32" i="21013"/>
  <c r="H32" i="21013"/>
  <c r="G32" i="21013"/>
  <c r="I31" i="21013"/>
  <c r="H31" i="21013"/>
  <c r="G31" i="21013"/>
  <c r="I30" i="21013"/>
  <c r="H30" i="21013"/>
  <c r="G30" i="21013"/>
  <c r="I29" i="21013"/>
  <c r="H29" i="21013"/>
  <c r="G29" i="21013"/>
  <c r="I28" i="21013"/>
  <c r="H28" i="21013"/>
  <c r="G28" i="21013"/>
  <c r="I27" i="21013"/>
  <c r="H27" i="21013"/>
  <c r="G27" i="21013"/>
  <c r="I26" i="21013"/>
  <c r="H26" i="21013"/>
  <c r="G26" i="21013"/>
  <c r="I25" i="21013"/>
  <c r="H25" i="21013"/>
  <c r="G25" i="21013"/>
  <c r="N24" i="21013"/>
  <c r="M24" i="21013"/>
  <c r="I24" i="21013"/>
  <c r="H24" i="21013"/>
  <c r="G24" i="21013"/>
  <c r="N23" i="21013"/>
  <c r="M23" i="21013"/>
  <c r="I23" i="21013"/>
  <c r="H23" i="21013"/>
  <c r="G23" i="21013"/>
  <c r="N22" i="21013"/>
  <c r="M22" i="21013"/>
  <c r="I22" i="21013"/>
  <c r="H22" i="21013"/>
  <c r="G22" i="21013"/>
  <c r="N21" i="21013"/>
  <c r="M21" i="21013"/>
  <c r="I21" i="21013"/>
  <c r="H21" i="21013"/>
  <c r="G21" i="21013"/>
  <c r="N20" i="21013"/>
  <c r="M20" i="21013"/>
  <c r="I20" i="21013"/>
  <c r="H20" i="21013"/>
  <c r="G20" i="21013"/>
  <c r="N19" i="21013"/>
  <c r="M19" i="21013"/>
  <c r="I19" i="21013"/>
  <c r="H19" i="21013"/>
  <c r="G19" i="21013"/>
  <c r="N18" i="21013"/>
  <c r="M18" i="21013"/>
  <c r="I18" i="21013"/>
  <c r="H18" i="21013"/>
  <c r="G18" i="21013"/>
  <c r="N17" i="21013"/>
  <c r="M17" i="21013"/>
  <c r="I17" i="21013"/>
  <c r="H17" i="21013"/>
  <c r="G17" i="21013"/>
  <c r="N16" i="21013"/>
  <c r="M16" i="21013"/>
  <c r="I16" i="21013"/>
  <c r="H16" i="21013"/>
  <c r="G16" i="21013"/>
  <c r="N15" i="21013"/>
  <c r="M15" i="21013"/>
  <c r="I15" i="21013"/>
  <c r="H15" i="21013"/>
  <c r="G15" i="21013"/>
  <c r="N14" i="21013"/>
  <c r="M14" i="21013"/>
  <c r="I14" i="21013"/>
  <c r="H14" i="21013"/>
  <c r="G14" i="21013"/>
  <c r="N13" i="21013"/>
  <c r="M13" i="21013"/>
  <c r="I13" i="21013"/>
  <c r="H13" i="21013"/>
  <c r="G13" i="21013"/>
  <c r="N12" i="21013"/>
  <c r="M12" i="21013"/>
  <c r="I12" i="21013"/>
  <c r="H12" i="21013"/>
  <c r="G12" i="21013"/>
  <c r="N11" i="21013"/>
  <c r="M11" i="21013"/>
  <c r="I11" i="21013"/>
  <c r="H11" i="21013"/>
  <c r="G11" i="21013"/>
  <c r="I10" i="21013"/>
  <c r="H10" i="21013"/>
  <c r="G10" i="21013"/>
  <c r="Q15" i="39" l="1"/>
  <c r="S14" i="39"/>
  <c r="R14" i="39"/>
  <c r="F15" i="30"/>
  <c r="F18" i="30"/>
  <c r="Q16" i="39" l="1"/>
  <c r="S15" i="39"/>
  <c r="R15" i="39"/>
  <c r="C11" i="30"/>
  <c r="Q17" i="39" l="1"/>
  <c r="S16" i="39"/>
  <c r="R16" i="39"/>
  <c r="F24" i="10"/>
  <c r="F23" i="10"/>
  <c r="F22" i="10"/>
  <c r="F21" i="10"/>
  <c r="Q18" i="39" l="1"/>
  <c r="S17" i="39"/>
  <c r="R17" i="39"/>
  <c r="B12" i="21004"/>
  <c r="B10" i="21004"/>
  <c r="P24" i="22"/>
  <c r="O25" i="22"/>
  <c r="P25" i="22" s="1"/>
  <c r="O24" i="22"/>
  <c r="B9" i="8"/>
  <c r="E17" i="8" s="1"/>
  <c r="C6" i="19"/>
  <c r="C7" i="19"/>
  <c r="C8" i="19"/>
  <c r="C9" i="19"/>
  <c r="C10" i="19"/>
  <c r="C11" i="19"/>
  <c r="C12" i="19"/>
  <c r="C13" i="19"/>
  <c r="C14" i="19"/>
  <c r="C15" i="19"/>
  <c r="C16" i="19"/>
  <c r="C17" i="19"/>
  <c r="C18" i="19"/>
  <c r="C19" i="19"/>
  <c r="C20" i="19"/>
  <c r="C5" i="19"/>
  <c r="B6" i="19"/>
  <c r="B7" i="19"/>
  <c r="B8" i="19"/>
  <c r="B9" i="19"/>
  <c r="B10" i="19"/>
  <c r="B11" i="19"/>
  <c r="B12" i="19"/>
  <c r="B13" i="19"/>
  <c r="B14" i="19"/>
  <c r="B15" i="19"/>
  <c r="B16" i="19"/>
  <c r="B17" i="19"/>
  <c r="B18" i="19"/>
  <c r="B19" i="19"/>
  <c r="B20" i="19"/>
  <c r="B5" i="19"/>
  <c r="A12" i="21004"/>
  <c r="C4" i="484"/>
  <c r="B18" i="484" s="1"/>
  <c r="A21" i="484" s="1"/>
  <c r="B20" i="484"/>
  <c r="C20" i="484" s="1"/>
  <c r="D20" i="484" s="1"/>
  <c r="D9" i="35"/>
  <c r="D10" i="35" s="1"/>
  <c r="D11" i="35" s="1"/>
  <c r="D12" i="35" s="1"/>
  <c r="D13" i="35" s="1"/>
  <c r="D14" i="35" s="1"/>
  <c r="D15" i="35" s="1"/>
  <c r="D16" i="35" s="1"/>
  <c r="D17" i="35" s="1"/>
  <c r="D18" i="35" s="1"/>
  <c r="D19" i="35" s="1"/>
  <c r="D20" i="35" s="1"/>
  <c r="D21" i="35" s="1"/>
  <c r="D22" i="35" s="1"/>
  <c r="D23" i="35" s="1"/>
  <c r="D24" i="35" s="1"/>
  <c r="D25" i="35" s="1"/>
  <c r="B9" i="35"/>
  <c r="B10" i="35" s="1"/>
  <c r="B11" i="35"/>
  <c r="B12" i="35" s="1"/>
  <c r="B13" i="35" s="1"/>
  <c r="B14" i="35" s="1"/>
  <c r="B15" i="35"/>
  <c r="B16" i="35" s="1"/>
  <c r="B17" i="35" s="1"/>
  <c r="B18" i="35" s="1"/>
  <c r="B19" i="35"/>
  <c r="B20" i="35" s="1"/>
  <c r="B21" i="35" s="1"/>
  <c r="B22" i="35" s="1"/>
  <c r="B23" i="35" s="1"/>
  <c r="B24" i="35" s="1"/>
  <c r="B25" i="35" s="1"/>
  <c r="C9" i="35"/>
  <c r="C10" i="35" s="1"/>
  <c r="C11" i="35" s="1"/>
  <c r="C12" i="35"/>
  <c r="C13" i="35" s="1"/>
  <c r="C14" i="35" s="1"/>
  <c r="C15" i="35" s="1"/>
  <c r="C16" i="35" s="1"/>
  <c r="C17" i="35" s="1"/>
  <c r="C18" i="35" s="1"/>
  <c r="C19" i="35" s="1"/>
  <c r="C20" i="35" s="1"/>
  <c r="C21" i="35" s="1"/>
  <c r="C22" i="35" s="1"/>
  <c r="C23" i="35" s="1"/>
  <c r="C24" i="35" s="1"/>
  <c r="C25" i="35" s="1"/>
  <c r="E10" i="36"/>
  <c r="E11" i="36" s="1"/>
  <c r="D10" i="36"/>
  <c r="D11" i="36" s="1"/>
  <c r="C10" i="36"/>
  <c r="C11" i="36"/>
  <c r="B10" i="36"/>
  <c r="B11" i="36"/>
  <c r="D8" i="37"/>
  <c r="C8" i="37"/>
  <c r="B8" i="37"/>
  <c r="E5" i="38"/>
  <c r="B9" i="38"/>
  <c r="B6" i="38"/>
  <c r="B5" i="38"/>
  <c r="B11" i="39"/>
  <c r="C11" i="39"/>
  <c r="D11" i="39"/>
  <c r="E11" i="39"/>
  <c r="F11" i="39"/>
  <c r="G11" i="39"/>
  <c r="H11" i="39"/>
  <c r="I11" i="39"/>
  <c r="J11" i="39"/>
  <c r="K11" i="39"/>
  <c r="L11" i="39"/>
  <c r="B12" i="39"/>
  <c r="C12" i="39"/>
  <c r="D12" i="39"/>
  <c r="E12" i="39"/>
  <c r="F12" i="39"/>
  <c r="G12" i="39"/>
  <c r="H12" i="39"/>
  <c r="I12" i="39"/>
  <c r="J12" i="39"/>
  <c r="K12" i="39"/>
  <c r="L12" i="39"/>
  <c r="B13" i="39"/>
  <c r="C13" i="39"/>
  <c r="D13" i="39"/>
  <c r="E13" i="39"/>
  <c r="F13" i="39"/>
  <c r="G13" i="39"/>
  <c r="H13" i="39"/>
  <c r="I13" i="39"/>
  <c r="J13" i="39"/>
  <c r="K13" i="39"/>
  <c r="L13" i="39"/>
  <c r="B14" i="39"/>
  <c r="C14" i="39"/>
  <c r="D14" i="39"/>
  <c r="E14" i="39"/>
  <c r="F14" i="39"/>
  <c r="G14" i="39"/>
  <c r="H14" i="39"/>
  <c r="I14" i="39"/>
  <c r="J14" i="39"/>
  <c r="K14" i="39"/>
  <c r="L14" i="39"/>
  <c r="B15" i="39"/>
  <c r="C15" i="39"/>
  <c r="D15" i="39"/>
  <c r="E15" i="39"/>
  <c r="F15" i="39"/>
  <c r="G15" i="39"/>
  <c r="H15" i="39"/>
  <c r="I15" i="39"/>
  <c r="J15" i="39"/>
  <c r="K15" i="39"/>
  <c r="L15" i="39"/>
  <c r="B16" i="39"/>
  <c r="C16" i="39"/>
  <c r="D16" i="39"/>
  <c r="E16" i="39"/>
  <c r="F16" i="39"/>
  <c r="G16" i="39"/>
  <c r="H16" i="39"/>
  <c r="I16" i="39"/>
  <c r="J16" i="39"/>
  <c r="K16" i="39"/>
  <c r="L16" i="39"/>
  <c r="B17" i="39"/>
  <c r="C17" i="39"/>
  <c r="D17" i="39"/>
  <c r="E17" i="39"/>
  <c r="F17" i="39"/>
  <c r="G17" i="39"/>
  <c r="H17" i="39"/>
  <c r="I17" i="39"/>
  <c r="J17" i="39"/>
  <c r="K17" i="39"/>
  <c r="L17" i="39"/>
  <c r="B18" i="39"/>
  <c r="C18" i="39"/>
  <c r="D18" i="39"/>
  <c r="E18" i="39"/>
  <c r="F18" i="39"/>
  <c r="G18" i="39"/>
  <c r="H18" i="39"/>
  <c r="I18" i="39"/>
  <c r="J18" i="39"/>
  <c r="K18" i="39"/>
  <c r="L18" i="39"/>
  <c r="B19" i="39"/>
  <c r="C19" i="39"/>
  <c r="D19" i="39"/>
  <c r="E19" i="39"/>
  <c r="F19" i="39"/>
  <c r="G19" i="39"/>
  <c r="H19" i="39"/>
  <c r="I19" i="39"/>
  <c r="J19" i="39"/>
  <c r="K19" i="39"/>
  <c r="L19" i="39"/>
  <c r="B20" i="39"/>
  <c r="C20" i="39"/>
  <c r="D20" i="39"/>
  <c r="E20" i="39"/>
  <c r="F20" i="39"/>
  <c r="G20" i="39"/>
  <c r="H20" i="39"/>
  <c r="I20" i="39"/>
  <c r="J20" i="39"/>
  <c r="K20" i="39"/>
  <c r="L20" i="39"/>
  <c r="C10" i="39"/>
  <c r="D10" i="39"/>
  <c r="E10" i="39"/>
  <c r="F10" i="39"/>
  <c r="G10" i="39"/>
  <c r="H10" i="39"/>
  <c r="I10" i="39"/>
  <c r="J10" i="39"/>
  <c r="K10" i="39"/>
  <c r="L10" i="39"/>
  <c r="B10" i="39"/>
  <c r="B6" i="42"/>
  <c r="B5" i="42"/>
  <c r="B14" i="1"/>
  <c r="B18" i="1"/>
  <c r="F6" i="1"/>
  <c r="B15" i="1"/>
  <c r="B7" i="1"/>
  <c r="D9" i="2"/>
  <c r="D8" i="2"/>
  <c r="B9" i="2"/>
  <c r="B8" i="2"/>
  <c r="E2" i="3"/>
  <c r="C11" i="3"/>
  <c r="B3" i="3"/>
  <c r="C3" i="3" s="1"/>
  <c r="D3" i="3" s="1"/>
  <c r="B5" i="3"/>
  <c r="C6" i="3" s="1"/>
  <c r="D6" i="3" s="1"/>
  <c r="C5" i="3"/>
  <c r="D5" i="3" s="1"/>
  <c r="C7" i="3"/>
  <c r="D7" i="3"/>
  <c r="E3" i="4"/>
  <c r="F3" i="4"/>
  <c r="E4" i="4"/>
  <c r="F4" i="4" s="1"/>
  <c r="E5" i="4"/>
  <c r="F5" i="4" s="1"/>
  <c r="E6" i="4"/>
  <c r="F6" i="4" s="1"/>
  <c r="E7" i="4"/>
  <c r="F7" i="4"/>
  <c r="E8" i="4"/>
  <c r="F8" i="4" s="1"/>
  <c r="E9" i="4"/>
  <c r="F9" i="4"/>
  <c r="E10" i="4"/>
  <c r="F10" i="4" s="1"/>
  <c r="E11" i="4"/>
  <c r="F11" i="4"/>
  <c r="E12" i="4"/>
  <c r="F12" i="4" s="1"/>
  <c r="E13" i="4"/>
  <c r="F13" i="4" s="1"/>
  <c r="E14" i="4"/>
  <c r="F14" i="4" s="1"/>
  <c r="E15" i="4"/>
  <c r="F15" i="4"/>
  <c r="E16" i="4"/>
  <c r="F16" i="4" s="1"/>
  <c r="E17" i="4"/>
  <c r="F17" i="4"/>
  <c r="E18" i="4"/>
  <c r="F18" i="4" s="1"/>
  <c r="E19" i="4"/>
  <c r="F19" i="4"/>
  <c r="E20" i="4"/>
  <c r="F20" i="4" s="1"/>
  <c r="E21" i="4"/>
  <c r="F21" i="4" s="1"/>
  <c r="E22" i="4"/>
  <c r="F22" i="4" s="1"/>
  <c r="E23" i="4"/>
  <c r="F23" i="4"/>
  <c r="E24" i="4"/>
  <c r="F24" i="4" s="1"/>
  <c r="E25" i="4"/>
  <c r="F25" i="4"/>
  <c r="E26" i="4"/>
  <c r="F26" i="4" s="1"/>
  <c r="E27" i="4"/>
  <c r="F27" i="4"/>
  <c r="E28" i="4"/>
  <c r="F28" i="4" s="1"/>
  <c r="E29" i="4"/>
  <c r="F29" i="4" s="1"/>
  <c r="E30" i="4"/>
  <c r="F30" i="4" s="1"/>
  <c r="E31" i="4"/>
  <c r="F31" i="4"/>
  <c r="E32" i="4"/>
  <c r="F32" i="4" s="1"/>
  <c r="E33" i="4"/>
  <c r="F33" i="4"/>
  <c r="E34" i="4"/>
  <c r="F34" i="4" s="1"/>
  <c r="E35" i="4"/>
  <c r="F35" i="4"/>
  <c r="E36" i="4"/>
  <c r="F36" i="4" s="1"/>
  <c r="E37" i="4"/>
  <c r="F37" i="4" s="1"/>
  <c r="E38" i="4"/>
  <c r="F38" i="4" s="1"/>
  <c r="E39" i="4"/>
  <c r="F39" i="4"/>
  <c r="E40" i="4"/>
  <c r="F40" i="4" s="1"/>
  <c r="E41" i="4"/>
  <c r="F41" i="4"/>
  <c r="E42" i="4"/>
  <c r="F42" i="4" s="1"/>
  <c r="E43" i="4"/>
  <c r="F43" i="4"/>
  <c r="E44" i="4"/>
  <c r="F44" i="4" s="1"/>
  <c r="E45" i="4"/>
  <c r="F45" i="4" s="1"/>
  <c r="E46" i="4"/>
  <c r="F46" i="4" s="1"/>
  <c r="E47" i="4"/>
  <c r="F47" i="4"/>
  <c r="E48" i="4"/>
  <c r="F48" i="4" s="1"/>
  <c r="E49" i="4"/>
  <c r="F49" i="4"/>
  <c r="E50" i="4"/>
  <c r="F50" i="4" s="1"/>
  <c r="E51" i="4"/>
  <c r="F51" i="4"/>
  <c r="E52" i="4"/>
  <c r="F52" i="4" s="1"/>
  <c r="E53" i="4"/>
  <c r="F53" i="4" s="1"/>
  <c r="E54" i="4"/>
  <c r="F54" i="4" s="1"/>
  <c r="E55" i="4"/>
  <c r="F55" i="4"/>
  <c r="E56" i="4"/>
  <c r="F56" i="4" s="1"/>
  <c r="E57" i="4"/>
  <c r="F57" i="4"/>
  <c r="E58" i="4"/>
  <c r="F58" i="4" s="1"/>
  <c r="E59" i="4"/>
  <c r="F59" i="4"/>
  <c r="E60" i="4"/>
  <c r="F60" i="4" s="1"/>
  <c r="E61" i="4"/>
  <c r="F61" i="4" s="1"/>
  <c r="E62" i="4"/>
  <c r="F62" i="4"/>
  <c r="E63" i="4"/>
  <c r="F63" i="4" s="1"/>
  <c r="E64" i="4"/>
  <c r="F64" i="4"/>
  <c r="E65" i="4"/>
  <c r="F65" i="4" s="1"/>
  <c r="E66" i="4"/>
  <c r="F66" i="4"/>
  <c r="E67" i="4"/>
  <c r="F67" i="4" s="1"/>
  <c r="E70" i="4"/>
  <c r="C70" i="4"/>
  <c r="B70" i="4"/>
  <c r="C69" i="4"/>
  <c r="B69"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11" i="4"/>
  <c r="B10" i="13"/>
  <c r="B16" i="13" s="1"/>
  <c r="B19" i="13" s="1"/>
  <c r="E4" i="13"/>
  <c r="B11" i="13"/>
  <c r="B18" i="13"/>
  <c r="D18" i="13" s="1"/>
  <c r="D15" i="13"/>
  <c r="D19" i="13" s="1"/>
  <c r="B15" i="13"/>
  <c r="E15" i="13" s="1"/>
  <c r="E19" i="13" s="1"/>
  <c r="B26" i="6"/>
  <c r="B29" i="6"/>
  <c r="C29" i="6"/>
  <c r="C30" i="6" s="1"/>
  <c r="D29" i="6"/>
  <c r="D28" i="6"/>
  <c r="A29" i="6"/>
  <c r="B28" i="6"/>
  <c r="E18" i="6"/>
  <c r="E20" i="6"/>
  <c r="E19" i="6"/>
  <c r="E14" i="6"/>
  <c r="E15" i="6"/>
  <c r="E13" i="6"/>
  <c r="C4" i="6"/>
  <c r="D4" i="6"/>
  <c r="D5" i="6"/>
  <c r="D3" i="6"/>
  <c r="E9" i="6"/>
  <c r="E10" i="6"/>
  <c r="E8" i="6"/>
  <c r="E4" i="6"/>
  <c r="E5" i="6"/>
  <c r="E3" i="6"/>
  <c r="D14" i="8"/>
  <c r="E14" i="8"/>
  <c r="D18" i="8"/>
  <c r="G18" i="8" s="1"/>
  <c r="C18" i="8" s="1"/>
  <c r="B18" i="8" s="1"/>
  <c r="D15" i="8"/>
  <c r="G15" i="8" s="1"/>
  <c r="D17" i="8"/>
  <c r="C16" i="8"/>
  <c r="B16" i="8" s="1"/>
  <c r="C15" i="8"/>
  <c r="B15" i="8" s="1"/>
  <c r="E9" i="21009"/>
  <c r="C4" i="21009"/>
  <c r="E10" i="21009"/>
  <c r="G11" i="21009" s="1"/>
  <c r="E12" i="21009" s="1"/>
  <c r="E11" i="21009"/>
  <c r="C18" i="21009"/>
  <c r="E18" i="21009" s="1"/>
  <c r="B18" i="21009"/>
  <c r="B20" i="21009"/>
  <c r="A21" i="21009"/>
  <c r="E20" i="21009"/>
  <c r="C20" i="21009"/>
  <c r="C13" i="21009"/>
  <c r="F11" i="21009"/>
  <c r="F8" i="10"/>
  <c r="F9" i="10"/>
  <c r="F7" i="10"/>
  <c r="B7" i="15"/>
  <c r="D7" i="15" s="1"/>
  <c r="D6" i="15"/>
  <c r="D18" i="15"/>
  <c r="C29" i="15" s="1"/>
  <c r="D15" i="15"/>
  <c r="D17" i="15"/>
  <c r="D16" i="15"/>
  <c r="D22" i="15"/>
  <c r="D23" i="15"/>
  <c r="D21" i="15"/>
  <c r="B32" i="15"/>
  <c r="D11" i="15"/>
  <c r="D12" i="15"/>
  <c r="D10" i="15"/>
  <c r="D5" i="15"/>
  <c r="D4" i="15"/>
  <c r="I19" i="16"/>
  <c r="B17" i="16"/>
  <c r="C17" i="16"/>
  <c r="D17" i="16"/>
  <c r="E17" i="16"/>
  <c r="F17" i="16"/>
  <c r="G17" i="16"/>
  <c r="H17" i="16"/>
  <c r="I17" i="16"/>
  <c r="J17" i="16"/>
  <c r="B18" i="16"/>
  <c r="C18" i="16"/>
  <c r="D18" i="16"/>
  <c r="E18" i="16"/>
  <c r="F18" i="16"/>
  <c r="G18" i="16"/>
  <c r="H18" i="16"/>
  <c r="I18" i="16"/>
  <c r="J18" i="16"/>
  <c r="J22" i="16"/>
  <c r="B16" i="16"/>
  <c r="C16" i="16"/>
  <c r="D16" i="16"/>
  <c r="E16" i="16"/>
  <c r="F16" i="16"/>
  <c r="G16" i="16"/>
  <c r="H16" i="16"/>
  <c r="I16" i="16"/>
  <c r="J16" i="16"/>
  <c r="B19" i="16"/>
  <c r="C19" i="16"/>
  <c r="D19" i="16"/>
  <c r="E19" i="16"/>
  <c r="F19" i="16"/>
  <c r="G19" i="16"/>
  <c r="H19" i="16"/>
  <c r="J19" i="16"/>
  <c r="D14" i="16"/>
  <c r="E14" i="16"/>
  <c r="F14" i="16"/>
  <c r="G14" i="16"/>
  <c r="H14" i="16"/>
  <c r="I14" i="16"/>
  <c r="J14" i="16"/>
  <c r="D15" i="16"/>
  <c r="E15" i="16"/>
  <c r="F15" i="16"/>
  <c r="G15" i="16"/>
  <c r="H15" i="16"/>
  <c r="I15" i="16"/>
  <c r="J15" i="16"/>
  <c r="C6" i="16"/>
  <c r="D6" i="16"/>
  <c r="E6" i="16"/>
  <c r="F6" i="16"/>
  <c r="G6" i="16"/>
  <c r="H6" i="16"/>
  <c r="I6" i="16"/>
  <c r="J6" i="16"/>
  <c r="C7" i="16"/>
  <c r="D7" i="16"/>
  <c r="E7" i="16"/>
  <c r="F7" i="16"/>
  <c r="G7" i="16"/>
  <c r="H7" i="16"/>
  <c r="I7" i="16"/>
  <c r="J7" i="16"/>
  <c r="C8" i="16"/>
  <c r="D8" i="16"/>
  <c r="E8" i="16"/>
  <c r="F8" i="16"/>
  <c r="G8" i="16"/>
  <c r="H8" i="16"/>
  <c r="I8" i="16"/>
  <c r="J8" i="16"/>
  <c r="C9" i="16"/>
  <c r="D9" i="16"/>
  <c r="E9" i="16"/>
  <c r="F9" i="16"/>
  <c r="G9" i="16"/>
  <c r="H9" i="16"/>
  <c r="I9" i="16"/>
  <c r="J9" i="16"/>
  <c r="C10" i="16"/>
  <c r="D10" i="16"/>
  <c r="E10" i="16"/>
  <c r="F10" i="16"/>
  <c r="G10" i="16"/>
  <c r="H10" i="16"/>
  <c r="I10" i="16"/>
  <c r="J10" i="16"/>
  <c r="C11" i="16"/>
  <c r="D11" i="16"/>
  <c r="E11" i="16"/>
  <c r="F11" i="16"/>
  <c r="G11" i="16"/>
  <c r="H11" i="16"/>
  <c r="I11" i="16"/>
  <c r="J11" i="16"/>
  <c r="C12" i="16"/>
  <c r="D12" i="16"/>
  <c r="E12" i="16"/>
  <c r="F12" i="16"/>
  <c r="G12" i="16"/>
  <c r="H12" i="16"/>
  <c r="I12" i="16"/>
  <c r="J12" i="16"/>
  <c r="C13" i="16"/>
  <c r="D13" i="16"/>
  <c r="E13" i="16"/>
  <c r="F13" i="16"/>
  <c r="G13" i="16"/>
  <c r="H13" i="16"/>
  <c r="I13" i="16"/>
  <c r="J13" i="16"/>
  <c r="D5" i="16"/>
  <c r="E5" i="16"/>
  <c r="F5" i="16"/>
  <c r="G5" i="16"/>
  <c r="H5" i="16"/>
  <c r="I5" i="16"/>
  <c r="J5" i="16"/>
  <c r="C14" i="16"/>
  <c r="C15" i="16"/>
  <c r="C5" i="16"/>
  <c r="B6" i="16"/>
  <c r="B7" i="16"/>
  <c r="B8" i="16"/>
  <c r="B9" i="16"/>
  <c r="B10" i="16"/>
  <c r="B11" i="16"/>
  <c r="B12" i="16"/>
  <c r="B13" i="16"/>
  <c r="B14" i="16"/>
  <c r="B15" i="16"/>
  <c r="B5" i="16"/>
  <c r="B4" i="20"/>
  <c r="E4" i="20" s="1"/>
  <c r="F4" i="20" s="1"/>
  <c r="C4" i="20"/>
  <c r="B5" i="20"/>
  <c r="E5" i="20" s="1"/>
  <c r="F5" i="20" s="1"/>
  <c r="C5" i="20"/>
  <c r="B6" i="20"/>
  <c r="E6" i="20" s="1"/>
  <c r="F6" i="20" s="1"/>
  <c r="C6" i="20"/>
  <c r="B7" i="20"/>
  <c r="E7" i="20" s="1"/>
  <c r="F7" i="20" s="1"/>
  <c r="C7" i="20"/>
  <c r="B8" i="20"/>
  <c r="E8" i="20" s="1"/>
  <c r="F8" i="20" s="1"/>
  <c r="C8" i="20"/>
  <c r="B9" i="20"/>
  <c r="E9" i="20" s="1"/>
  <c r="F9" i="20" s="1"/>
  <c r="C9" i="20"/>
  <c r="B10" i="20"/>
  <c r="E10" i="20" s="1"/>
  <c r="F10" i="20" s="1"/>
  <c r="C10" i="20"/>
  <c r="B11" i="20"/>
  <c r="E11" i="20" s="1"/>
  <c r="F11" i="20" s="1"/>
  <c r="C11" i="20"/>
  <c r="B12" i="20"/>
  <c r="E12" i="20" s="1"/>
  <c r="F12" i="20" s="1"/>
  <c r="C12" i="20"/>
  <c r="B13" i="20"/>
  <c r="E13" i="20" s="1"/>
  <c r="F13" i="20" s="1"/>
  <c r="C13" i="20"/>
  <c r="B14" i="20"/>
  <c r="E14" i="20" s="1"/>
  <c r="F14" i="20" s="1"/>
  <c r="C14" i="20"/>
  <c r="B15" i="20"/>
  <c r="E15" i="20" s="1"/>
  <c r="F15" i="20" s="1"/>
  <c r="C15" i="20"/>
  <c r="B16" i="20"/>
  <c r="E16" i="20" s="1"/>
  <c r="F16" i="20" s="1"/>
  <c r="C16" i="20"/>
  <c r="B17" i="20"/>
  <c r="E17" i="20" s="1"/>
  <c r="F17" i="20" s="1"/>
  <c r="C17" i="20"/>
  <c r="B18" i="20"/>
  <c r="E18" i="20" s="1"/>
  <c r="F18" i="20" s="1"/>
  <c r="C18" i="20"/>
  <c r="B19" i="20"/>
  <c r="E19" i="20" s="1"/>
  <c r="F19" i="20" s="1"/>
  <c r="C19" i="20"/>
  <c r="B3" i="20"/>
  <c r="E3" i="20" s="1"/>
  <c r="F3" i="20" s="1"/>
  <c r="C3" i="20"/>
  <c r="J11" i="22"/>
  <c r="J13" i="22"/>
  <c r="J14" i="22"/>
  <c r="C7" i="22"/>
  <c r="K8" i="22" s="1"/>
  <c r="C8" i="22"/>
  <c r="C9" i="22" s="1"/>
  <c r="K10" i="22" s="1"/>
  <c r="J9" i="22"/>
  <c r="J10" i="22"/>
  <c r="L10" i="22"/>
  <c r="J8" i="22"/>
  <c r="M9" i="22"/>
  <c r="L9" i="22"/>
  <c r="J12" i="22"/>
  <c r="M12" i="22"/>
  <c r="L12" i="22"/>
  <c r="M13" i="22"/>
  <c r="L13" i="22"/>
  <c r="M11" i="22"/>
  <c r="L11" i="22"/>
  <c r="M8" i="22"/>
  <c r="L8" i="22"/>
  <c r="D8" i="22"/>
  <c r="O5" i="22"/>
  <c r="P5" i="22" s="1"/>
  <c r="O6" i="22"/>
  <c r="P6" i="22"/>
  <c r="S5" i="22"/>
  <c r="T5" i="22" s="1"/>
  <c r="S6" i="22"/>
  <c r="W5" i="22"/>
  <c r="X5" i="22" s="1"/>
  <c r="W7" i="22" s="1"/>
  <c r="W6" i="22"/>
  <c r="X6" i="22"/>
  <c r="AA5" i="22"/>
  <c r="AA6" i="22"/>
  <c r="AA7" i="22" s="1"/>
  <c r="AB6" i="22"/>
  <c r="AB5" i="22"/>
  <c r="AE5" i="22"/>
  <c r="AF5" i="22" s="1"/>
  <c r="AE6" i="22"/>
  <c r="AE7" i="22" s="1"/>
  <c r="AF6" i="22"/>
  <c r="D7" i="22"/>
  <c r="F7" i="22"/>
  <c r="D9" i="22"/>
  <c r="D10" i="22"/>
  <c r="D11" i="22"/>
  <c r="D12" i="22"/>
  <c r="D25" i="22"/>
  <c r="D13" i="22"/>
  <c r="C15" i="22"/>
  <c r="C16" i="22"/>
  <c r="D15" i="24"/>
  <c r="D16" i="24"/>
  <c r="D17" i="24"/>
  <c r="D20" i="24"/>
  <c r="D21" i="24"/>
  <c r="D22" i="24"/>
  <c r="C9" i="24"/>
  <c r="D9" i="24" s="1"/>
  <c r="C10" i="24"/>
  <c r="D10" i="24"/>
  <c r="D8" i="24"/>
  <c r="D4" i="24"/>
  <c r="D5" i="24"/>
  <c r="D3" i="24"/>
  <c r="D6" i="25"/>
  <c r="D7" i="25"/>
  <c r="D5" i="25"/>
  <c r="B11" i="26"/>
  <c r="C11" i="26" s="1"/>
  <c r="D11" i="26" s="1"/>
  <c r="B13" i="26"/>
  <c r="C13" i="26" s="1"/>
  <c r="B21" i="27"/>
  <c r="C21" i="27" s="1"/>
  <c r="D21" i="27" s="1"/>
  <c r="D22" i="27" s="1"/>
  <c r="D23" i="27" s="1"/>
  <c r="B23" i="27"/>
  <c r="B22" i="27"/>
  <c r="B17" i="27"/>
  <c r="B19" i="27"/>
  <c r="B18" i="27" s="1"/>
  <c r="C17" i="27"/>
  <c r="D17" i="27" s="1"/>
  <c r="D18" i="27" s="1"/>
  <c r="D19" i="27" s="1"/>
  <c r="B13" i="27"/>
  <c r="C13" i="27" s="1"/>
  <c r="D13" i="27" s="1"/>
  <c r="D14" i="27" s="1"/>
  <c r="D15" i="27" s="1"/>
  <c r="D10" i="27" s="1"/>
  <c r="B15" i="27"/>
  <c r="B14" i="27"/>
  <c r="C15" i="27"/>
  <c r="C23" i="27"/>
  <c r="C19" i="27"/>
  <c r="A19" i="27"/>
  <c r="B13" i="28"/>
  <c r="B15" i="28"/>
  <c r="C15" i="28"/>
  <c r="B22" i="21010"/>
  <c r="B20" i="21010"/>
  <c r="B21" i="21010"/>
  <c r="B18" i="21010"/>
  <c r="B27" i="21010" s="1"/>
  <c r="C20" i="21010"/>
  <c r="D20" i="21010" s="1"/>
  <c r="D21" i="21010" s="1"/>
  <c r="D22" i="21010" s="1"/>
  <c r="B16" i="21010"/>
  <c r="C16" i="21010"/>
  <c r="D16" i="21010" s="1"/>
  <c r="D17" i="21010" s="1"/>
  <c r="D18" i="21010" s="1"/>
  <c r="B17" i="21010"/>
  <c r="B12" i="21010"/>
  <c r="C12" i="21010" s="1"/>
  <c r="D12" i="21010" s="1"/>
  <c r="D13" i="21010" s="1"/>
  <c r="D14" i="21010" s="1"/>
  <c r="B14" i="21010"/>
  <c r="B13" i="21010"/>
  <c r="C14" i="21010"/>
  <c r="C22" i="21010"/>
  <c r="C18" i="21010"/>
  <c r="A22" i="21010"/>
  <c r="A18" i="21010"/>
  <c r="B13" i="29"/>
  <c r="B14" i="29"/>
  <c r="B10" i="29"/>
  <c r="B9" i="29"/>
  <c r="D7" i="30"/>
  <c r="D8" i="30"/>
  <c r="D9" i="30"/>
  <c r="D10" i="30"/>
  <c r="D11" i="30"/>
  <c r="D6" i="30"/>
  <c r="C7" i="30"/>
  <c r="F7" i="30" s="1"/>
  <c r="C8" i="30"/>
  <c r="F8" i="30" s="1"/>
  <c r="C9" i="30"/>
  <c r="F9" i="30" s="1"/>
  <c r="C10" i="30"/>
  <c r="F10" i="30" s="1"/>
  <c r="F11" i="30"/>
  <c r="C6" i="30"/>
  <c r="F6" i="30" s="1"/>
  <c r="B16" i="31"/>
  <c r="B17" i="31"/>
  <c r="B9" i="31"/>
  <c r="B11" i="31"/>
  <c r="E10" i="32"/>
  <c r="D7" i="32"/>
  <c r="B10" i="32"/>
  <c r="B7" i="32"/>
  <c r="M12" i="33"/>
  <c r="N12" i="33"/>
  <c r="M13" i="33"/>
  <c r="N13" i="33"/>
  <c r="M14" i="33"/>
  <c r="N14" i="33"/>
  <c r="M15" i="33"/>
  <c r="N15" i="33"/>
  <c r="M16" i="33"/>
  <c r="N16" i="33"/>
  <c r="M17" i="33"/>
  <c r="N17" i="33"/>
  <c r="M18" i="33"/>
  <c r="N18" i="33"/>
  <c r="M19" i="33"/>
  <c r="N19" i="33"/>
  <c r="M20" i="33"/>
  <c r="N20" i="33"/>
  <c r="M21" i="33"/>
  <c r="N21" i="33"/>
  <c r="M22" i="33"/>
  <c r="N22" i="33"/>
  <c r="M23" i="33"/>
  <c r="N23" i="33"/>
  <c r="M24" i="33"/>
  <c r="N24" i="33"/>
  <c r="N11" i="33"/>
  <c r="M11" i="33"/>
  <c r="G28" i="33"/>
  <c r="H28" i="33"/>
  <c r="I28" i="33"/>
  <c r="G29" i="33"/>
  <c r="H29" i="33"/>
  <c r="I29" i="33"/>
  <c r="G30" i="33"/>
  <c r="H30" i="33"/>
  <c r="I30" i="33"/>
  <c r="G31" i="33"/>
  <c r="H31" i="33"/>
  <c r="I31" i="33"/>
  <c r="G32" i="33"/>
  <c r="H32" i="33"/>
  <c r="I32" i="33"/>
  <c r="G33" i="33"/>
  <c r="H33" i="33"/>
  <c r="I33" i="33"/>
  <c r="G34" i="33"/>
  <c r="H34" i="33"/>
  <c r="I34" i="33"/>
  <c r="G35" i="33"/>
  <c r="H35" i="33"/>
  <c r="I35" i="33"/>
  <c r="G36" i="33"/>
  <c r="H36" i="33"/>
  <c r="I36" i="33"/>
  <c r="G37" i="33"/>
  <c r="H37" i="33"/>
  <c r="I37" i="33"/>
  <c r="G38" i="33"/>
  <c r="H38" i="33"/>
  <c r="I38" i="33"/>
  <c r="G39" i="33"/>
  <c r="H39" i="33"/>
  <c r="I39" i="33"/>
  <c r="G40" i="33"/>
  <c r="H40" i="33"/>
  <c r="I40" i="33"/>
  <c r="G41" i="33"/>
  <c r="H41" i="33"/>
  <c r="I41" i="33"/>
  <c r="G42" i="33"/>
  <c r="H42" i="33"/>
  <c r="I42" i="33"/>
  <c r="G43" i="33"/>
  <c r="H43" i="33"/>
  <c r="I43" i="33"/>
  <c r="G44" i="33"/>
  <c r="H44" i="33"/>
  <c r="I44" i="33"/>
  <c r="G45" i="33"/>
  <c r="H45" i="33"/>
  <c r="I45" i="33"/>
  <c r="G46" i="33"/>
  <c r="H46" i="33"/>
  <c r="I46" i="33"/>
  <c r="G47" i="33"/>
  <c r="H47" i="33"/>
  <c r="I47" i="33"/>
  <c r="G48" i="33"/>
  <c r="H48" i="33"/>
  <c r="I48" i="33"/>
  <c r="G49" i="33"/>
  <c r="H49" i="33"/>
  <c r="I49" i="33"/>
  <c r="G50" i="33"/>
  <c r="H50" i="33"/>
  <c r="I50" i="33"/>
  <c r="I27" i="33"/>
  <c r="I16" i="33"/>
  <c r="I17" i="33"/>
  <c r="I18" i="33"/>
  <c r="I19" i="33"/>
  <c r="I20" i="33"/>
  <c r="I21" i="33"/>
  <c r="I22" i="33"/>
  <c r="I23" i="33"/>
  <c r="I24" i="33"/>
  <c r="I25" i="33"/>
  <c r="I26" i="33"/>
  <c r="I12" i="33"/>
  <c r="I13" i="33"/>
  <c r="I14" i="33"/>
  <c r="I15" i="33"/>
  <c r="I11" i="33"/>
  <c r="H17" i="33"/>
  <c r="H18" i="33"/>
  <c r="H19" i="33"/>
  <c r="H20" i="33"/>
  <c r="H21" i="33"/>
  <c r="H22" i="33"/>
  <c r="H23" i="33"/>
  <c r="H24" i="33"/>
  <c r="H25" i="33"/>
  <c r="H26" i="33"/>
  <c r="H27" i="33"/>
  <c r="H12" i="33"/>
  <c r="H13" i="33"/>
  <c r="H14" i="33"/>
  <c r="H15" i="33"/>
  <c r="H16" i="33"/>
  <c r="H11" i="33"/>
  <c r="G12" i="33"/>
  <c r="G13" i="33"/>
  <c r="G14" i="33"/>
  <c r="G15" i="33"/>
  <c r="G16" i="33"/>
  <c r="G17" i="33"/>
  <c r="G18" i="33"/>
  <c r="G19" i="33"/>
  <c r="G20" i="33"/>
  <c r="G21" i="33"/>
  <c r="G22" i="33"/>
  <c r="G23" i="33"/>
  <c r="G24" i="33"/>
  <c r="G25" i="33"/>
  <c r="G26" i="33"/>
  <c r="G27" i="33"/>
  <c r="G11" i="33"/>
  <c r="H10" i="33"/>
  <c r="I10" i="33"/>
  <c r="G10" i="33"/>
  <c r="E1" i="18"/>
  <c r="J4" i="18"/>
  <c r="J5" i="18"/>
  <c r="J6" i="18" s="1"/>
  <c r="K6" i="18" s="1"/>
  <c r="J7" i="18"/>
  <c r="K7" i="18" s="1"/>
  <c r="K4" i="18"/>
  <c r="K3" i="18"/>
  <c r="E11" i="34"/>
  <c r="E12" i="34" s="1"/>
  <c r="E7" i="34"/>
  <c r="B7" i="34"/>
  <c r="B12" i="34"/>
  <c r="B11" i="34"/>
  <c r="B19" i="14"/>
  <c r="A19" i="14"/>
  <c r="C9" i="7"/>
  <c r="C10" i="7"/>
  <c r="C11" i="7"/>
  <c r="C12" i="7"/>
  <c r="C13" i="7"/>
  <c r="C14" i="7"/>
  <c r="C15" i="7"/>
  <c r="C16" i="7"/>
  <c r="C17" i="7"/>
  <c r="C8" i="7"/>
  <c r="B9" i="7"/>
  <c r="B10" i="7"/>
  <c r="B11" i="7"/>
  <c r="B12" i="7"/>
  <c r="B13" i="7"/>
  <c r="B14" i="7"/>
  <c r="B15" i="7"/>
  <c r="B16" i="7"/>
  <c r="B17" i="7"/>
  <c r="B8" i="7"/>
  <c r="Q19" i="39" l="1"/>
  <c r="S18" i="39"/>
  <c r="R18" i="39"/>
  <c r="E3" i="3"/>
  <c r="A15" i="28"/>
  <c r="G17" i="8"/>
  <c r="G14" i="8"/>
  <c r="C14" i="8" s="1"/>
  <c r="B14" i="8" s="1"/>
  <c r="C4" i="3"/>
  <c r="AF7" i="22"/>
  <c r="AE8" i="22"/>
  <c r="K5" i="18"/>
  <c r="J8" i="18"/>
  <c r="D9" i="21010"/>
  <c r="C21" i="22"/>
  <c r="X7" i="22"/>
  <c r="W8" i="22" s="1"/>
  <c r="D12" i="26"/>
  <c r="D13" i="26" s="1"/>
  <c r="AB7" i="22"/>
  <c r="AA8" i="22"/>
  <c r="S7" i="22"/>
  <c r="C13" i="28"/>
  <c r="D13" i="28" s="1"/>
  <c r="A14" i="21010"/>
  <c r="B14" i="28"/>
  <c r="A23" i="27"/>
  <c r="A13" i="26"/>
  <c r="T6" i="22"/>
  <c r="C10" i="22"/>
  <c r="B33" i="15"/>
  <c r="B34" i="15" s="1"/>
  <c r="B35" i="15" s="1"/>
  <c r="B36" i="15" s="1"/>
  <c r="B37" i="15" s="1"/>
  <c r="B38" i="15" s="1"/>
  <c r="B39" i="15" s="1"/>
  <c r="B40" i="15" s="1"/>
  <c r="B41" i="15" s="1"/>
  <c r="B42" i="15" s="1"/>
  <c r="B43" i="15" s="1"/>
  <c r="B44" i="15" s="1"/>
  <c r="B45" i="15" s="1"/>
  <c r="B46" i="15" s="1"/>
  <c r="B47" i="15" s="1"/>
  <c r="B48" i="15" s="1"/>
  <c r="B49" i="15" s="1"/>
  <c r="B50" i="15" s="1"/>
  <c r="B51" i="15" s="1"/>
  <c r="B52" i="15" s="1"/>
  <c r="B53" i="15" s="1"/>
  <c r="B54" i="15" s="1"/>
  <c r="B55" i="15" s="1"/>
  <c r="B56" i="15" s="1"/>
  <c r="B57" i="15" s="1"/>
  <c r="B58" i="15" s="1"/>
  <c r="B59" i="15" s="1"/>
  <c r="B60" i="15" s="1"/>
  <c r="B61" i="15" s="1"/>
  <c r="B62" i="15" s="1"/>
  <c r="C32" i="15"/>
  <c r="C33" i="15" s="1"/>
  <c r="C34" i="15" s="1"/>
  <c r="C35" i="15" s="1"/>
  <c r="C36" i="15" s="1"/>
  <c r="C37" i="15" s="1"/>
  <c r="C38" i="15" s="1"/>
  <c r="C39" i="15" s="1"/>
  <c r="C40" i="15" s="1"/>
  <c r="C41" i="15" s="1"/>
  <c r="C42" i="15" s="1"/>
  <c r="C43" i="15" s="1"/>
  <c r="C44" i="15" s="1"/>
  <c r="C45" i="15" s="1"/>
  <c r="C46" i="15" s="1"/>
  <c r="C47" i="15" s="1"/>
  <c r="C48" i="15" s="1"/>
  <c r="C49" i="15" s="1"/>
  <c r="C50" i="15" s="1"/>
  <c r="C51" i="15" s="1"/>
  <c r="C52" i="15" s="1"/>
  <c r="C53" i="15" s="1"/>
  <c r="C54" i="15" s="1"/>
  <c r="C55" i="15" s="1"/>
  <c r="C56" i="15" s="1"/>
  <c r="C57" i="15" s="1"/>
  <c r="C58" i="15" s="1"/>
  <c r="C59" i="15" s="1"/>
  <c r="C60" i="15" s="1"/>
  <c r="C61" i="15" s="1"/>
  <c r="C62" i="15" s="1"/>
  <c r="C31" i="6"/>
  <c r="D30" i="6"/>
  <c r="A15" i="27"/>
  <c r="B12" i="26"/>
  <c r="O7" i="22"/>
  <c r="M10" i="22"/>
  <c r="C19" i="22" s="1"/>
  <c r="B21" i="21009"/>
  <c r="C21" i="21009" s="1"/>
  <c r="D21" i="13"/>
  <c r="E18" i="13"/>
  <c r="E21" i="13" s="1"/>
  <c r="F69" i="4"/>
  <c r="F70" i="4"/>
  <c r="F71" i="4" s="1"/>
  <c r="K9" i="22"/>
  <c r="C17" i="8"/>
  <c r="B17" i="8" s="1"/>
  <c r="D16" i="8"/>
  <c r="G16" i="8" s="1"/>
  <c r="B21" i="13"/>
  <c r="E69" i="4"/>
  <c r="B21" i="484"/>
  <c r="A22" i="484" s="1"/>
  <c r="O26" i="22"/>
  <c r="C12" i="21004"/>
  <c r="B11" i="21004"/>
  <c r="C10" i="21004"/>
  <c r="D10" i="21004" s="1"/>
  <c r="D11" i="21004" s="1"/>
  <c r="D12" i="21004" s="1"/>
  <c r="Q20" i="39" l="1"/>
  <c r="S19" i="39"/>
  <c r="R19" i="39"/>
  <c r="E4" i="3"/>
  <c r="D4" i="3"/>
  <c r="X8" i="22"/>
  <c r="W9" i="22" s="1"/>
  <c r="A23" i="484"/>
  <c r="C22" i="484"/>
  <c r="D22" i="484" s="1"/>
  <c r="B22" i="484"/>
  <c r="C11" i="22"/>
  <c r="K11" i="22"/>
  <c r="C22" i="22" s="1"/>
  <c r="C21" i="484"/>
  <c r="D21" i="484" s="1"/>
  <c r="E21" i="21009"/>
  <c r="P7" i="22"/>
  <c r="O8" i="22" s="1"/>
  <c r="C32" i="6"/>
  <c r="D31" i="6"/>
  <c r="C20" i="22"/>
  <c r="AB8" i="22"/>
  <c r="AA9" i="22" s="1"/>
  <c r="J9" i="18"/>
  <c r="K8" i="18"/>
  <c r="A22" i="21009"/>
  <c r="D14" i="28"/>
  <c r="D15" i="28" s="1"/>
  <c r="T7" i="22"/>
  <c r="S8" i="22" s="1"/>
  <c r="AF8" i="22"/>
  <c r="AE9" i="22" s="1"/>
  <c r="P26" i="22"/>
  <c r="O27" i="22" s="1"/>
  <c r="Q21" i="39" l="1"/>
  <c r="S20" i="39"/>
  <c r="R20" i="39"/>
  <c r="AF9" i="22"/>
  <c r="AE10" i="22" s="1"/>
  <c r="T8" i="22"/>
  <c r="S9" i="22"/>
  <c r="P8" i="22"/>
  <c r="O9" i="22"/>
  <c r="X9" i="22"/>
  <c r="W10" i="22" s="1"/>
  <c r="P27" i="22"/>
  <c r="O28" i="22" s="1"/>
  <c r="J10" i="18"/>
  <c r="K9" i="18"/>
  <c r="K12" i="22"/>
  <c r="C12" i="22"/>
  <c r="AB9" i="22"/>
  <c r="B22" i="21009"/>
  <c r="E22" i="21009" s="1"/>
  <c r="AA10" i="22"/>
  <c r="AA11" i="22" s="1"/>
  <c r="B23" i="484"/>
  <c r="C23" i="484" s="1"/>
  <c r="D23" i="484" s="1"/>
  <c r="C33" i="6"/>
  <c r="D32" i="6"/>
  <c r="Q22" i="39" l="1"/>
  <c r="R21" i="39"/>
  <c r="S21" i="39"/>
  <c r="AA13" i="22"/>
  <c r="AB11" i="22"/>
  <c r="AF10" i="22"/>
  <c r="AE11" i="22"/>
  <c r="W12" i="22"/>
  <c r="X10" i="22"/>
  <c r="W11" i="22"/>
  <c r="P28" i="22"/>
  <c r="O29" i="22" s="1"/>
  <c r="T9" i="22"/>
  <c r="C22" i="21009"/>
  <c r="P9" i="22"/>
  <c r="S10" i="22"/>
  <c r="A24" i="484"/>
  <c r="A23" i="21009"/>
  <c r="J11" i="18"/>
  <c r="K10" i="18"/>
  <c r="O10" i="22"/>
  <c r="C34" i="6"/>
  <c r="D33" i="6"/>
  <c r="C13" i="22"/>
  <c r="K14" i="22" s="1"/>
  <c r="K13" i="22"/>
  <c r="AB10" i="22"/>
  <c r="AA12" i="22"/>
  <c r="Q23" i="39" l="1"/>
  <c r="S22" i="39"/>
  <c r="R22" i="39"/>
  <c r="P29" i="22"/>
  <c r="O30" i="22" s="1"/>
  <c r="P10" i="22"/>
  <c r="O12" i="22"/>
  <c r="S12" i="22"/>
  <c r="T10" i="22"/>
  <c r="AF11" i="22"/>
  <c r="AB13" i="22"/>
  <c r="AA15" i="22"/>
  <c r="AA14" i="22"/>
  <c r="AB12" i="22"/>
  <c r="K11" i="18"/>
  <c r="J12" i="18"/>
  <c r="O11" i="22"/>
  <c r="S11" i="22"/>
  <c r="W13" i="22"/>
  <c r="W14" i="22" s="1"/>
  <c r="X11" i="22"/>
  <c r="C24" i="484"/>
  <c r="D24" i="484"/>
  <c r="B24" i="484"/>
  <c r="A25" i="484" s="1"/>
  <c r="X12" i="22"/>
  <c r="C35" i="6"/>
  <c r="D34" i="6"/>
  <c r="B23" i="21009"/>
  <c r="C23" i="21009"/>
  <c r="A24" i="21009"/>
  <c r="E23" i="21009"/>
  <c r="AE12" i="22"/>
  <c r="Q24" i="39" l="1"/>
  <c r="S23" i="39"/>
  <c r="R23" i="39"/>
  <c r="B25" i="484"/>
  <c r="A26" i="484" s="1"/>
  <c r="X14" i="22"/>
  <c r="P30" i="22"/>
  <c r="O31" i="22"/>
  <c r="O32" i="22" s="1"/>
  <c r="B24" i="21009"/>
  <c r="C24" i="21009" s="1"/>
  <c r="T12" i="22"/>
  <c r="P12" i="22"/>
  <c r="AF12" i="22"/>
  <c r="P11" i="22"/>
  <c r="O13" i="22"/>
  <c r="AB14" i="22"/>
  <c r="AA16" i="22"/>
  <c r="AE13" i="22"/>
  <c r="C36" i="6"/>
  <c r="D35" i="6"/>
  <c r="W15" i="22"/>
  <c r="X13" i="22"/>
  <c r="S13" i="22"/>
  <c r="S14" i="22" s="1"/>
  <c r="T11" i="22"/>
  <c r="J13" i="18"/>
  <c r="K12" i="18"/>
  <c r="AB15" i="22"/>
  <c r="Q25" i="39" l="1"/>
  <c r="S24" i="39"/>
  <c r="R24" i="39"/>
  <c r="P32" i="22"/>
  <c r="T14" i="22"/>
  <c r="B26" i="484"/>
  <c r="A27" i="484" s="1"/>
  <c r="AF13" i="22"/>
  <c r="A25" i="21009"/>
  <c r="W17" i="22"/>
  <c r="X15" i="22"/>
  <c r="AB16" i="22"/>
  <c r="C25" i="484"/>
  <c r="D25" i="484" s="1"/>
  <c r="J14" i="18"/>
  <c r="K13" i="18"/>
  <c r="AE14" i="22"/>
  <c r="E24" i="21009"/>
  <c r="AA17" i="22"/>
  <c r="AA18" i="22" s="1"/>
  <c r="AB18" i="22" s="1"/>
  <c r="S15" i="22"/>
  <c r="S16" i="22" s="1"/>
  <c r="T13" i="22"/>
  <c r="C37" i="6"/>
  <c r="D36" i="6"/>
  <c r="P13" i="22"/>
  <c r="O14" i="22"/>
  <c r="O15" i="22" s="1"/>
  <c r="P31" i="22"/>
  <c r="O33" i="22"/>
  <c r="W16" i="22"/>
  <c r="S25" i="39" l="1"/>
  <c r="R25" i="39"/>
  <c r="P15" i="22"/>
  <c r="B27" i="484"/>
  <c r="C27" i="484" s="1"/>
  <c r="D27" i="484" s="1"/>
  <c r="T16" i="22"/>
  <c r="AF14" i="22"/>
  <c r="B25" i="21009"/>
  <c r="E25" i="21009"/>
  <c r="A26" i="21009"/>
  <c r="C25" i="21009"/>
  <c r="C38" i="6"/>
  <c r="D38" i="6" s="1"/>
  <c r="D37" i="6"/>
  <c r="W18" i="22"/>
  <c r="X18" i="22" s="1"/>
  <c r="X16" i="22"/>
  <c r="S17" i="22"/>
  <c r="S18" i="22" s="1"/>
  <c r="T18" i="22" s="1"/>
  <c r="T15" i="22"/>
  <c r="C26" i="484"/>
  <c r="D26" i="484" s="1"/>
  <c r="O16" i="22"/>
  <c r="P14" i="22"/>
  <c r="W19" i="22"/>
  <c r="X17" i="22"/>
  <c r="P33" i="22"/>
  <c r="O35" i="22"/>
  <c r="AB17" i="22"/>
  <c r="AA19" i="22"/>
  <c r="J15" i="18"/>
  <c r="K14" i="18"/>
  <c r="AE15" i="22"/>
  <c r="O34" i="22"/>
  <c r="F9" i="22" l="1"/>
  <c r="AB19" i="22"/>
  <c r="AF15" i="22"/>
  <c r="F10" i="22"/>
  <c r="X19" i="22"/>
  <c r="A28" i="484"/>
  <c r="P35" i="22"/>
  <c r="S19" i="22"/>
  <c r="T17" i="22"/>
  <c r="K15" i="18"/>
  <c r="J16" i="18"/>
  <c r="P16" i="22"/>
  <c r="O18" i="22"/>
  <c r="P18" i="22" s="1"/>
  <c r="O17" i="22"/>
  <c r="O36" i="22"/>
  <c r="P34" i="22"/>
  <c r="E26" i="21009"/>
  <c r="A27" i="21009"/>
  <c r="B26" i="21009"/>
  <c r="C26" i="21009"/>
  <c r="AE16" i="22"/>
  <c r="AE17" i="22" s="1"/>
  <c r="AF17" i="22" l="1"/>
  <c r="A28" i="21009"/>
  <c r="C27" i="21009"/>
  <c r="B27" i="21009"/>
  <c r="E27" i="21009"/>
  <c r="P17" i="22"/>
  <c r="O19" i="22"/>
  <c r="D28" i="484"/>
  <c r="B28" i="484"/>
  <c r="A29" i="484"/>
  <c r="C28" i="484"/>
  <c r="AE18" i="22"/>
  <c r="AF18" i="22" s="1"/>
  <c r="AF16" i="22"/>
  <c r="T19" i="22"/>
  <c r="F11" i="22"/>
  <c r="P36" i="22"/>
  <c r="J17" i="18"/>
  <c r="K16" i="18"/>
  <c r="O37" i="22"/>
  <c r="P37" i="22" s="1"/>
  <c r="P19" i="22" l="1"/>
  <c r="F12" i="22"/>
  <c r="J18" i="18"/>
  <c r="K17" i="18"/>
  <c r="A30" i="484"/>
  <c r="C29" i="484"/>
  <c r="B29" i="484"/>
  <c r="D29" i="484"/>
  <c r="B28" i="21009"/>
  <c r="E28" i="21009"/>
  <c r="A29" i="21009"/>
  <c r="C28" i="21009"/>
  <c r="O38" i="22"/>
  <c r="AE19" i="22"/>
  <c r="P38" i="22" l="1"/>
  <c r="F13" i="22"/>
  <c r="B29" i="21009"/>
  <c r="E29" i="21009"/>
  <c r="A30" i="21009"/>
  <c r="C29" i="21009"/>
  <c r="K18" i="18"/>
  <c r="J19" i="18"/>
  <c r="AF19" i="22"/>
  <c r="F8" i="22"/>
  <c r="A31" i="484"/>
  <c r="C30" i="484"/>
  <c r="B30" i="484"/>
  <c r="D30" i="484"/>
  <c r="K19" i="18" l="1"/>
  <c r="J20" i="18"/>
  <c r="D31" i="484"/>
  <c r="A32" i="484"/>
  <c r="C31" i="484"/>
  <c r="B31" i="484"/>
  <c r="E30" i="21009"/>
  <c r="A31" i="21009"/>
  <c r="C30" i="21009"/>
  <c r="B30" i="21009"/>
  <c r="A32" i="21009" l="1"/>
  <c r="C31" i="21009"/>
  <c r="B31" i="21009"/>
  <c r="E31" i="21009"/>
  <c r="B32" i="484"/>
  <c r="D32" i="484"/>
  <c r="A33" i="484"/>
  <c r="C32" i="484"/>
  <c r="K20" i="18"/>
  <c r="J21" i="18"/>
  <c r="D33" i="484" l="1"/>
  <c r="C33" i="484"/>
  <c r="A34" i="484"/>
  <c r="B33" i="484"/>
  <c r="J22" i="18"/>
  <c r="K21" i="18"/>
  <c r="C32" i="21009"/>
  <c r="B32" i="21009"/>
  <c r="E32" i="21009"/>
  <c r="A33" i="21009"/>
  <c r="C34" i="484" l="1"/>
  <c r="D34" i="484"/>
  <c r="B34" i="484"/>
  <c r="A35" i="484"/>
  <c r="B33" i="21009"/>
  <c r="E33" i="21009"/>
  <c r="A34" i="21009"/>
  <c r="C33" i="21009"/>
  <c r="J23" i="18"/>
  <c r="K22" i="18"/>
  <c r="D35" i="484" l="1"/>
  <c r="A36" i="484"/>
  <c r="C35" i="484"/>
  <c r="B35" i="484"/>
  <c r="E34" i="21009"/>
  <c r="C34" i="21009"/>
  <c r="A35" i="21009"/>
  <c r="B34" i="21009"/>
  <c r="K23" i="18"/>
  <c r="J24" i="18"/>
  <c r="A36" i="21009" l="1"/>
  <c r="C35" i="21009"/>
  <c r="B35" i="21009"/>
  <c r="E35" i="21009"/>
  <c r="B36" i="484"/>
  <c r="D36" i="484"/>
  <c r="A37" i="484"/>
  <c r="C36" i="484"/>
  <c r="J25" i="18"/>
  <c r="K24" i="18"/>
  <c r="D37" i="484" l="1"/>
  <c r="C37" i="484"/>
  <c r="A38" i="484"/>
  <c r="B37" i="484"/>
  <c r="J26" i="18"/>
  <c r="K25" i="18"/>
  <c r="B36" i="21009"/>
  <c r="E36" i="21009"/>
  <c r="A37" i="21009"/>
  <c r="C36" i="21009"/>
  <c r="C38" i="484" l="1"/>
  <c r="D38" i="484"/>
  <c r="B38" i="484"/>
  <c r="A39" i="484"/>
  <c r="B37" i="21009"/>
  <c r="E37" i="21009"/>
  <c r="A38" i="21009"/>
  <c r="C37" i="21009"/>
  <c r="J27" i="18"/>
  <c r="K26" i="18"/>
  <c r="D39" i="484" l="1"/>
  <c r="A40" i="484"/>
  <c r="C39" i="484"/>
  <c r="B39" i="484"/>
  <c r="E38" i="21009"/>
  <c r="C38" i="21009"/>
  <c r="A39" i="21009"/>
  <c r="B38" i="21009"/>
  <c r="K27" i="18"/>
  <c r="J28" i="18"/>
  <c r="A40" i="21009" l="1"/>
  <c r="C39" i="21009"/>
  <c r="B39" i="21009"/>
  <c r="E39" i="21009"/>
  <c r="J29" i="18"/>
  <c r="K28" i="18"/>
  <c r="B40" i="484"/>
  <c r="D40" i="484"/>
  <c r="C40" i="484"/>
  <c r="A41" i="484"/>
  <c r="D41" i="484" l="1"/>
  <c r="C41" i="484"/>
  <c r="A42" i="484"/>
  <c r="B41" i="484"/>
  <c r="J30" i="18"/>
  <c r="K29" i="18"/>
  <c r="B40" i="21009"/>
  <c r="E40" i="21009"/>
  <c r="C40" i="21009"/>
  <c r="A41" i="21009"/>
  <c r="C42" i="484" l="1"/>
  <c r="D42" i="484"/>
  <c r="B42" i="484"/>
  <c r="A43" i="484"/>
  <c r="B41" i="21009"/>
  <c r="E41" i="21009"/>
  <c r="A42" i="21009"/>
  <c r="C41" i="21009"/>
  <c r="J31" i="18"/>
  <c r="K30" i="18"/>
  <c r="D43" i="484" l="1"/>
  <c r="A44" i="484"/>
  <c r="C43" i="484"/>
  <c r="B43" i="484"/>
  <c r="E42" i="21009"/>
  <c r="C42" i="21009"/>
  <c r="A43" i="21009"/>
  <c r="B42" i="21009"/>
  <c r="K31" i="18"/>
  <c r="J32" i="18"/>
  <c r="A44" i="21009" l="1"/>
  <c r="C43" i="21009"/>
  <c r="B43" i="21009"/>
  <c r="E43" i="21009"/>
  <c r="B44" i="484"/>
  <c r="D44" i="484"/>
  <c r="C44" i="484"/>
  <c r="A45" i="484"/>
  <c r="J33" i="18"/>
  <c r="K32" i="18"/>
  <c r="D45" i="484" l="1"/>
  <c r="C45" i="484"/>
  <c r="B45" i="484"/>
  <c r="A46" i="484"/>
  <c r="D14" i="484" s="1"/>
  <c r="J34" i="18"/>
  <c r="K33" i="18"/>
  <c r="B44" i="21009"/>
  <c r="E44" i="21009"/>
  <c r="A45" i="21009"/>
  <c r="C44" i="21009"/>
  <c r="B45" i="21009" l="1"/>
  <c r="E45" i="21009"/>
  <c r="A46" i="21009"/>
  <c r="D14" i="21009" s="1"/>
  <c r="C45" i="21009"/>
  <c r="K34" i="18"/>
  <c r="J35" i="18"/>
  <c r="K35" i="18" l="1"/>
  <c r="J36" i="18"/>
  <c r="J37" i="18" l="1"/>
  <c r="K36" i="18"/>
  <c r="J38" i="18" l="1"/>
  <c r="K37" i="18"/>
  <c r="J39" i="18" l="1"/>
  <c r="K38" i="18"/>
  <c r="K39" i="18" l="1"/>
  <c r="J40" i="18"/>
  <c r="J41" i="18" l="1"/>
  <c r="K40" i="18"/>
  <c r="J42" i="18" l="1"/>
  <c r="K41" i="18"/>
  <c r="K42" i="18" l="1"/>
  <c r="J43" i="18"/>
  <c r="K43" i="18" l="1"/>
  <c r="J44" i="18"/>
  <c r="J45" i="18" l="1"/>
  <c r="K44" i="18"/>
  <c r="J46" i="18" l="1"/>
  <c r="K45" i="18"/>
  <c r="J47" i="18" l="1"/>
  <c r="K46" i="18"/>
  <c r="K47" i="18" l="1"/>
  <c r="J48" i="18"/>
  <c r="J49" i="18" l="1"/>
  <c r="K48" i="18"/>
  <c r="J50" i="18" l="1"/>
  <c r="K49" i="18"/>
  <c r="K50" i="18" l="1"/>
  <c r="J51" i="18"/>
  <c r="K51" i="18" l="1"/>
  <c r="J52" i="18"/>
  <c r="K52" i="18" l="1"/>
  <c r="J53" i="18"/>
  <c r="J54" i="18" l="1"/>
  <c r="K53" i="18"/>
  <c r="J55" i="18" l="1"/>
  <c r="K54" i="18"/>
  <c r="K55" i="18" l="1"/>
  <c r="J56" i="18"/>
  <c r="J57" i="18" l="1"/>
  <c r="K56" i="18"/>
  <c r="J58" i="18" l="1"/>
  <c r="K57" i="18"/>
  <c r="J59" i="18" l="1"/>
  <c r="K58" i="18"/>
  <c r="K59" i="18" l="1"/>
  <c r="J60" i="18"/>
  <c r="K60" i="18" l="1"/>
  <c r="J61" i="18"/>
  <c r="J62" i="18" l="1"/>
  <c r="K61" i="18"/>
  <c r="J63" i="18" l="1"/>
  <c r="K62" i="18"/>
  <c r="K63" i="18" l="1"/>
  <c r="J64" i="18"/>
  <c r="J65" i="18" l="1"/>
  <c r="K64" i="18"/>
  <c r="J66" i="18" l="1"/>
  <c r="K65" i="18"/>
  <c r="K66" i="18" l="1"/>
  <c r="J67" i="18"/>
  <c r="K67" i="18" l="1"/>
  <c r="J68" i="18"/>
  <c r="K68" i="18" l="1"/>
  <c r="J69" i="18"/>
  <c r="J70" i="18" l="1"/>
  <c r="K69" i="18"/>
  <c r="K70" i="18" l="1"/>
  <c r="J71" i="18"/>
  <c r="K71" i="18" l="1"/>
  <c r="J72" i="18"/>
  <c r="J73" i="18" l="1"/>
  <c r="K72" i="18"/>
  <c r="J74" i="18" l="1"/>
  <c r="K73" i="18"/>
  <c r="J75" i="18" l="1"/>
  <c r="K74" i="18"/>
  <c r="K75" i="18" l="1"/>
  <c r="J76" i="18"/>
  <c r="J77" i="18" l="1"/>
  <c r="K76" i="18"/>
  <c r="J78" i="18" l="1"/>
  <c r="K77" i="18"/>
  <c r="J79" i="18" l="1"/>
  <c r="K78" i="18"/>
  <c r="K79" i="18" l="1"/>
  <c r="J80" i="18"/>
  <c r="J81" i="18" l="1"/>
  <c r="K80" i="18"/>
  <c r="J82" i="18" l="1"/>
  <c r="K81" i="18"/>
  <c r="K82" i="18" l="1"/>
  <c r="J83" i="18"/>
  <c r="K83" i="18" l="1"/>
  <c r="J84" i="18"/>
  <c r="K84" i="18" l="1"/>
  <c r="J85" i="18"/>
  <c r="J86" i="18" l="1"/>
  <c r="K85" i="18"/>
  <c r="K86" i="18" l="1"/>
  <c r="J87" i="18"/>
  <c r="K87" i="18" l="1"/>
  <c r="J88" i="18"/>
  <c r="J89" i="18" l="1"/>
  <c r="K88" i="18"/>
  <c r="J90" i="18" l="1"/>
  <c r="K89" i="18"/>
  <c r="J91" i="18" l="1"/>
  <c r="K90" i="18"/>
  <c r="K91" i="18" l="1"/>
  <c r="J92" i="18"/>
  <c r="J93" i="18" l="1"/>
  <c r="K92" i="18"/>
  <c r="J94" i="18" l="1"/>
  <c r="K93" i="18"/>
  <c r="J95" i="18" l="1"/>
  <c r="K94" i="18"/>
  <c r="K95" i="18" l="1"/>
  <c r="J96" i="18"/>
  <c r="K96" i="18" l="1"/>
  <c r="J97" i="18"/>
  <c r="J98" i="18" l="1"/>
  <c r="K97" i="18"/>
  <c r="K98" i="18" l="1"/>
  <c r="J99" i="18"/>
  <c r="K99" i="18" l="1"/>
  <c r="J100" i="18"/>
  <c r="J101" i="18" l="1"/>
  <c r="K100" i="18"/>
  <c r="J102" i="18" l="1"/>
  <c r="K101" i="18"/>
  <c r="J103" i="18" l="1"/>
  <c r="K102" i="18"/>
  <c r="K103" i="18" l="1"/>
  <c r="J104" i="18"/>
  <c r="J105" i="18" l="1"/>
  <c r="K104" i="18"/>
  <c r="J106" i="18" l="1"/>
  <c r="K105" i="18"/>
  <c r="J107" i="18" l="1"/>
  <c r="K106" i="18"/>
  <c r="K107" i="18" l="1"/>
  <c r="J108" i="18"/>
  <c r="K108" i="18" l="1"/>
  <c r="J109" i="18"/>
  <c r="J110" i="18" l="1"/>
  <c r="K109" i="18"/>
  <c r="J111" i="18" l="1"/>
  <c r="K110" i="18"/>
  <c r="K111" i="18" l="1"/>
  <c r="J112" i="18"/>
  <c r="J113" i="18" l="1"/>
  <c r="K112" i="18"/>
  <c r="J114" i="18" l="1"/>
  <c r="K113" i="18"/>
  <c r="K114" i="18" l="1"/>
  <c r="J115" i="18"/>
  <c r="K115" i="18" l="1"/>
  <c r="J116" i="18"/>
  <c r="J117" i="18" l="1"/>
  <c r="K116" i="18"/>
  <c r="J118" i="18" l="1"/>
  <c r="K117" i="18"/>
  <c r="J119" i="18" l="1"/>
  <c r="K118" i="18"/>
  <c r="K119" i="18" l="1"/>
  <c r="J120" i="18"/>
  <c r="K120" i="18" l="1"/>
  <c r="J121" i="18"/>
  <c r="J122" i="18" l="1"/>
  <c r="K121" i="18"/>
  <c r="J123" i="18" l="1"/>
  <c r="K122" i="18"/>
  <c r="K123" i="18" l="1"/>
  <c r="J124" i="18"/>
  <c r="K124" i="18" l="1"/>
  <c r="J125" i="18"/>
  <c r="J126" i="18" l="1"/>
  <c r="K125" i="18"/>
  <c r="J127" i="18" l="1"/>
  <c r="K126" i="18"/>
  <c r="K127" i="18" l="1"/>
  <c r="J128" i="18"/>
  <c r="J129" i="18" l="1"/>
  <c r="K128" i="18"/>
  <c r="J130" i="18" l="1"/>
  <c r="K129" i="18"/>
  <c r="K130" i="18" l="1"/>
  <c r="J131" i="18"/>
  <c r="K131" i="18" l="1"/>
  <c r="J132" i="18"/>
  <c r="J133" i="18" l="1"/>
  <c r="K132" i="18"/>
  <c r="J134" i="18" l="1"/>
  <c r="K133" i="18"/>
  <c r="K134" i="18" l="1"/>
  <c r="J135" i="18"/>
  <c r="K135" i="18" l="1"/>
  <c r="J136" i="18"/>
  <c r="J137" i="18" l="1"/>
  <c r="K136" i="18"/>
  <c r="J138" i="18" l="1"/>
  <c r="K137" i="18"/>
  <c r="J139" i="18" l="1"/>
  <c r="K138" i="18"/>
  <c r="K139" i="18" l="1"/>
  <c r="J140" i="18"/>
  <c r="J141" i="18" l="1"/>
  <c r="K140" i="18"/>
  <c r="J142" i="18" l="1"/>
  <c r="K141" i="18"/>
  <c r="K142" i="18" l="1"/>
  <c r="J143" i="18"/>
  <c r="K143" i="18" l="1"/>
  <c r="J144" i="18"/>
  <c r="K144" i="18" l="1"/>
  <c r="J145" i="18"/>
  <c r="J146" i="18" l="1"/>
  <c r="K145" i="18"/>
  <c r="K146" i="18" l="1"/>
  <c r="J147" i="18"/>
  <c r="K147" i="18" l="1"/>
  <c r="J148" i="18"/>
  <c r="J149" i="18" l="1"/>
  <c r="K148" i="18"/>
  <c r="J150" i="18" l="1"/>
  <c r="K149" i="18"/>
  <c r="J151" i="18" l="1"/>
  <c r="K150" i="18"/>
  <c r="K151" i="18" l="1"/>
  <c r="J152" i="18"/>
  <c r="K152" i="18" l="1"/>
  <c r="J153" i="18"/>
  <c r="J154" i="18" l="1"/>
  <c r="K153" i="18"/>
  <c r="J155" i="18" l="1"/>
  <c r="K154" i="18"/>
  <c r="K155" i="18" l="1"/>
  <c r="J156" i="18"/>
  <c r="K156" i="18" l="1"/>
  <c r="J157" i="18"/>
  <c r="J158" i="18" l="1"/>
  <c r="K157" i="18"/>
  <c r="J159" i="18" l="1"/>
  <c r="K158" i="18"/>
  <c r="K159" i="18" l="1"/>
  <c r="J160" i="18"/>
  <c r="K160" i="18" l="1"/>
  <c r="J161" i="18"/>
  <c r="J162" i="18" l="1"/>
  <c r="K161" i="18"/>
  <c r="K162" i="18" l="1"/>
  <c r="J163" i="18"/>
  <c r="K163" i="18" l="1"/>
  <c r="J164" i="18"/>
  <c r="K164" i="18" l="1"/>
  <c r="J165" i="18"/>
  <c r="J166" i="18" l="1"/>
  <c r="K165" i="18"/>
  <c r="J167" i="18" l="1"/>
  <c r="K166" i="18"/>
  <c r="K167" i="18" l="1"/>
  <c r="J168" i="18"/>
  <c r="K168" i="18" l="1"/>
  <c r="J169" i="18"/>
  <c r="J170" i="18" l="1"/>
  <c r="K169" i="18"/>
  <c r="J171" i="18" l="1"/>
  <c r="K170" i="18"/>
  <c r="K171" i="18" l="1"/>
  <c r="J172" i="18"/>
  <c r="K172" i="18" l="1"/>
  <c r="J173" i="18"/>
  <c r="J174" i="18" l="1"/>
  <c r="K173" i="18"/>
  <c r="J175" i="18" l="1"/>
  <c r="K174" i="18"/>
  <c r="K175" i="18" l="1"/>
  <c r="J176" i="18"/>
  <c r="K176" i="18" l="1"/>
  <c r="J177" i="18"/>
  <c r="J178" i="18" l="1"/>
  <c r="K177" i="18"/>
  <c r="K178" i="18" l="1"/>
  <c r="J179" i="18"/>
  <c r="K179" i="18" l="1"/>
  <c r="J180" i="18"/>
  <c r="J181" i="18" l="1"/>
  <c r="K180" i="18"/>
  <c r="J182" i="18" l="1"/>
  <c r="K181" i="18"/>
  <c r="J183" i="18" l="1"/>
  <c r="K183" i="18" s="1"/>
  <c r="K182" i="18"/>
</calcChain>
</file>

<file path=xl/comments1.xml><?xml version="1.0" encoding="utf-8"?>
<comments xmlns="http://schemas.openxmlformats.org/spreadsheetml/2006/main">
  <authors>
    <author>ap</author>
  </authors>
  <commentList>
    <comment ref="B17" authorId="0">
      <text>
        <r>
          <rPr>
            <sz val="12"/>
            <color indexed="81"/>
            <rFont val="Tahoma"/>
            <family val="2"/>
          </rPr>
          <t>Fälligkeitstermin: Following
Es wird auf den folgenden Bankarbeitstag adjustuiert
(Der Einfachheit halber sind nur Samstag und Sonntag Bankfeiertage.)</t>
        </r>
      </text>
    </comment>
    <comment ref="C17" authorId="0">
      <text>
        <r>
          <rPr>
            <sz val="10"/>
            <color indexed="81"/>
            <rFont val="Tahoma"/>
            <family val="2"/>
          </rPr>
          <t xml:space="preserve">Bei festverzinslichen Wertpapieren ist es häufig so, dass nur der Zahlungstermin adjustiert wird. 
Die Zahlungshöhe bezieht sich an den nicht adjustierten Termin.
</t>
        </r>
      </text>
    </comment>
    <comment ref="E17" authorId="0">
      <text>
        <r>
          <rPr>
            <sz val="10"/>
            <color indexed="81"/>
            <rFont val="Tahoma"/>
            <family val="2"/>
          </rPr>
          <t>Bei festverzinslichen Wertpapieren ist es manchmal so, dass nur der Zahlungstermin adjustiert wird. Die Zahlungshöhe bezieht sich an den nicht adjustierten Termin.
In dieser Spalte stehen dagegen die Zahlungen, wenn auch die Zahlungshöhe sich auf den adjustierten Termin bezieht.Methode: 30/360</t>
        </r>
      </text>
    </comment>
  </commentList>
</comments>
</file>

<file path=xl/comments2.xml><?xml version="1.0" encoding="utf-8"?>
<comments xmlns="http://schemas.openxmlformats.org/spreadsheetml/2006/main">
  <authors>
    <author>ap</author>
  </authors>
  <commentList>
    <comment ref="B17" authorId="0">
      <text>
        <r>
          <rPr>
            <sz val="12"/>
            <color indexed="81"/>
            <rFont val="Tahoma"/>
            <family val="2"/>
          </rPr>
          <t>Fälligkeitstermin: Following
Es wird auf den folgenden Bankarbeitstag adjustuiert
(Der Einfachheit halber sind nur Samstag und Sonntag Bankfeiertage;)</t>
        </r>
      </text>
    </comment>
    <comment ref="D17" authorId="0">
      <text>
        <r>
          <rPr>
            <sz val="10"/>
            <color indexed="81"/>
            <rFont val="Tahoma"/>
            <family val="2"/>
          </rPr>
          <t>Bei festverzinslichen Wertpapieren ist es üblich, dass nur der Zahlungstermin adjustiert wird. 
Die Zahlungshöhe bezieht sich an den nicht adjustierten Termin.
In dieser Spalte stehen dagegen die Zahlungen, wenn auch die Zahlungshöhe sich auf den adjustierten Termin bezieht.Methode: 30/360</t>
        </r>
      </text>
    </comment>
  </commentList>
</comments>
</file>

<file path=xl/sharedStrings.xml><?xml version="1.0" encoding="utf-8"?>
<sst xmlns="http://schemas.openxmlformats.org/spreadsheetml/2006/main" count="654" uniqueCount="391">
  <si>
    <t>Prozentrechnung</t>
  </si>
  <si>
    <t>Grundwert</t>
  </si>
  <si>
    <t>Grundwert  G</t>
  </si>
  <si>
    <t>Prozentwert</t>
  </si>
  <si>
    <t>verä. Grundw. VG</t>
  </si>
  <si>
    <t>Ergebnis</t>
  </si>
  <si>
    <t>Prozentsatz</t>
  </si>
  <si>
    <t>VG</t>
  </si>
  <si>
    <t>Datum</t>
  </si>
  <si>
    <t>Aktienkurs</t>
  </si>
  <si>
    <t xml:space="preserve">Veränderung gegenüber Vorwert in % </t>
  </si>
  <si>
    <t>Steigerungs-faktor</t>
  </si>
  <si>
    <t>06.08.</t>
  </si>
  <si>
    <t>13.08.</t>
  </si>
  <si>
    <t>20.08.</t>
  </si>
  <si>
    <t>27.08.</t>
  </si>
  <si>
    <t>03.09.</t>
  </si>
  <si>
    <t>10.09.</t>
  </si>
  <si>
    <t>Pozentsatz alt</t>
  </si>
  <si>
    <t>Prozentsatz neu</t>
  </si>
  <si>
    <t>Änderung</t>
  </si>
  <si>
    <t>in Prozent</t>
  </si>
  <si>
    <t>Jahr</t>
  </si>
  <si>
    <t>.</t>
  </si>
  <si>
    <t>Währung</t>
  </si>
  <si>
    <t>Einfache Zinsrechnung</t>
  </si>
  <si>
    <t>Angelegter Betrag</t>
  </si>
  <si>
    <t>Zinssatz p.a.</t>
  </si>
  <si>
    <t>Laufzeit in Jahren</t>
  </si>
  <si>
    <t>Ergebnis:   Zinsen</t>
  </si>
  <si>
    <t>Endkapital</t>
  </si>
  <si>
    <t>Anfangskapital</t>
  </si>
  <si>
    <t>Laufzeit</t>
  </si>
  <si>
    <t>Zinssatz</t>
  </si>
  <si>
    <t>Jahre</t>
  </si>
  <si>
    <t>exp.</t>
  </si>
  <si>
    <t>So viel Euro können Sie ohne Abzug anlegen</t>
  </si>
  <si>
    <t>p.a.</t>
  </si>
  <si>
    <t>Alleinstehende</t>
  </si>
  <si>
    <t>Verheiratete</t>
  </si>
  <si>
    <t>Einfache Zinsen</t>
  </si>
  <si>
    <t>Kapital</t>
  </si>
  <si>
    <t>Einzahlungstag</t>
  </si>
  <si>
    <t>Fälligkeitstag</t>
  </si>
  <si>
    <t>Ergebnisse:</t>
  </si>
  <si>
    <t>Methode</t>
  </si>
  <si>
    <t>Zinstage</t>
  </si>
  <si>
    <t>(actual)</t>
  </si>
  <si>
    <t>* mit Excel-Funktion TAGE360</t>
  </si>
  <si>
    <t>Anlagen in Fremdwährungen</t>
  </si>
  <si>
    <t>Anlage:</t>
  </si>
  <si>
    <t>Euro</t>
  </si>
  <si>
    <t>Anlagedauer:</t>
  </si>
  <si>
    <t>Land</t>
  </si>
  <si>
    <t>Geld</t>
  </si>
  <si>
    <t>Brief</t>
  </si>
  <si>
    <t>in Euro</t>
  </si>
  <si>
    <t xml:space="preserve">Schweiz </t>
  </si>
  <si>
    <t>1 CHF</t>
  </si>
  <si>
    <t>Kanada</t>
  </si>
  <si>
    <t>1 CAD</t>
  </si>
  <si>
    <t>USA</t>
  </si>
  <si>
    <t>1 USD</t>
  </si>
  <si>
    <t>Euroland</t>
  </si>
  <si>
    <t>1 EUR</t>
  </si>
  <si>
    <t>Nennwert</t>
  </si>
  <si>
    <t>Kurs</t>
  </si>
  <si>
    <t>Zahlung</t>
  </si>
  <si>
    <t>Zinslaufbeginn</t>
  </si>
  <si>
    <t>Valutatag</t>
  </si>
  <si>
    <t>Fälligkeit</t>
  </si>
  <si>
    <t>actual/360</t>
  </si>
  <si>
    <t>Stückzinstage</t>
  </si>
  <si>
    <t>Jahreslänge</t>
  </si>
  <si>
    <t>Kaufpreis ohne Stückzinsen</t>
  </si>
  <si>
    <t>Stückzinsen</t>
  </si>
  <si>
    <t>Es gibt auch spezielle Excel-Funktionen zur Berechnung von Zinstagen</t>
  </si>
  <si>
    <t>(z.B. ZINSTERMTAGE usw.), die hier nicht verwendet werden.</t>
  </si>
  <si>
    <t>Sind diese speziellen Funktionen in Ihrem Excel nicht verfügbar, starten Sie das</t>
  </si>
  <si>
    <t xml:space="preserve">Setup-Programm, um den Add-In-Makro Analyse-Funktionen zu installieren. </t>
  </si>
  <si>
    <t>Lineare Verzinsung</t>
  </si>
  <si>
    <t>Zeitpunkt</t>
  </si>
  <si>
    <t>Hinweise</t>
  </si>
  <si>
    <t>Zahlung positiv = Einzahlung</t>
  </si>
  <si>
    <t>Zahlung negativ = Auszahlung</t>
  </si>
  <si>
    <r>
      <t xml:space="preserve">Unter </t>
    </r>
    <r>
      <rPr>
        <b/>
        <sz val="10"/>
        <rFont val="Helv"/>
      </rPr>
      <t>Zeitpunkt</t>
    </r>
    <r>
      <rPr>
        <sz val="10"/>
        <rFont val="Helv"/>
      </rPr>
      <t xml:space="preserve"> sind nur Angaben </t>
    </r>
  </si>
  <si>
    <t>bis zu einem Jahr erlaubt.</t>
  </si>
  <si>
    <t>Wert</t>
  </si>
  <si>
    <t>Berechnungen mit Zinseszinsen</t>
  </si>
  <si>
    <t>Ergebnis: Endkapital</t>
  </si>
  <si>
    <t>Ergebnis: Angelegter Betrag</t>
  </si>
  <si>
    <t>Ergebnis:                   Zinssatz</t>
  </si>
  <si>
    <t>Ergebnis:                        Laufzeit</t>
  </si>
  <si>
    <t>Daten für die Zeichnung:</t>
  </si>
  <si>
    <t>Zinssatz1</t>
  </si>
  <si>
    <t>Zinssatz2</t>
  </si>
  <si>
    <t>Wert1</t>
  </si>
  <si>
    <t>Wert2</t>
  </si>
  <si>
    <t>Wertentwicklung einer Geldanlage bei verschiedenen Zinssätzen</t>
  </si>
  <si>
    <t>Anlagebetrag (=Anfangskapital)</t>
  </si>
  <si>
    <t>Anlagezeit in Jahren</t>
  </si>
  <si>
    <t>Aus</t>
  </si>
  <si>
    <t>werden nach</t>
  </si>
  <si>
    <t>Jahren bei</t>
  </si>
  <si>
    <t>Zinsen:</t>
  </si>
  <si>
    <t>Zeit</t>
  </si>
  <si>
    <t>Minimum bei</t>
  </si>
  <si>
    <t>Zeit in Tagen</t>
  </si>
  <si>
    <t>Differenz</t>
  </si>
  <si>
    <t>Ko</t>
  </si>
  <si>
    <t>t</t>
  </si>
  <si>
    <r>
      <t>K</t>
    </r>
    <r>
      <rPr>
        <vertAlign val="subscript"/>
        <sz val="8"/>
        <rFont val="Helv"/>
      </rPr>
      <t>t</t>
    </r>
    <r>
      <rPr>
        <sz val="10"/>
        <rFont val="Helv"/>
      </rPr>
      <t xml:space="preserve"> = K</t>
    </r>
    <r>
      <rPr>
        <vertAlign val="subscript"/>
        <sz val="8"/>
        <rFont val="Helv"/>
      </rPr>
      <t>0</t>
    </r>
    <r>
      <rPr>
        <sz val="10"/>
        <rFont val="Helv"/>
      </rPr>
      <t>(1+i)</t>
    </r>
    <r>
      <rPr>
        <vertAlign val="superscript"/>
        <sz val="8"/>
        <rFont val="Helv"/>
      </rPr>
      <t>t</t>
    </r>
  </si>
  <si>
    <r>
      <t>K</t>
    </r>
    <r>
      <rPr>
        <vertAlign val="subscript"/>
        <sz val="8"/>
        <rFont val="Helv"/>
      </rPr>
      <t>t</t>
    </r>
    <r>
      <rPr>
        <sz val="10"/>
        <rFont val="Helv"/>
      </rPr>
      <t xml:space="preserve"> = K</t>
    </r>
    <r>
      <rPr>
        <vertAlign val="subscript"/>
        <sz val="8"/>
        <rFont val="Helv"/>
      </rPr>
      <t>0</t>
    </r>
    <r>
      <rPr>
        <sz val="10"/>
        <rFont val="Helv"/>
      </rPr>
      <t>(1+t i)</t>
    </r>
  </si>
  <si>
    <t>Verdoppelungszeit in Jahren</t>
  </si>
  <si>
    <t>Zinsfuß p p.a.</t>
  </si>
  <si>
    <t>Faustregel</t>
  </si>
  <si>
    <t>Exakt</t>
  </si>
  <si>
    <t>relativer Fehler</t>
  </si>
  <si>
    <t>Vorschüssige Zinseszinsrechnung</t>
  </si>
  <si>
    <t>Vorschüssige lineare Verzinsung</t>
  </si>
  <si>
    <t>Finanzierungsschätze</t>
  </si>
  <si>
    <t>Ergebnis:</t>
  </si>
  <si>
    <t>Betrag</t>
  </si>
  <si>
    <t>Laufzeit in Tagen</t>
  </si>
  <si>
    <t>Gemischte Verzinsung (Einzahlungstag wird nicht mitverzinst)</t>
  </si>
  <si>
    <t>Einzahlung am</t>
  </si>
  <si>
    <t>in Höhe von</t>
  </si>
  <si>
    <t>auf ein Sparbuch.</t>
  </si>
  <si>
    <t>Ende</t>
  </si>
  <si>
    <t>Ergebnisse</t>
  </si>
  <si>
    <t>Kapital am Ende</t>
  </si>
  <si>
    <t>Tage in</t>
  </si>
  <si>
    <t>"volle" Jahre</t>
  </si>
  <si>
    <t>1. Einzahlung</t>
  </si>
  <si>
    <t>2. Einzahlung</t>
  </si>
  <si>
    <t>3. Einzahlung</t>
  </si>
  <si>
    <t>Tageberechnung mit der Funktion TAGE360 aus Excel</t>
  </si>
  <si>
    <t>Unterjährige Verzinsung</t>
  </si>
  <si>
    <t>ZInssatz</t>
  </si>
  <si>
    <t>Zinstermine pro Jahr</t>
  </si>
  <si>
    <t>effektiver Zinssatz</t>
  </si>
  <si>
    <t>jährlicher Verzinsung</t>
  </si>
  <si>
    <t>Anlagebetrag</t>
  </si>
  <si>
    <t>nach 1 Jahr</t>
  </si>
  <si>
    <t>in Monaten</t>
  </si>
  <si>
    <t>nom.Zinssatz</t>
  </si>
  <si>
    <t>Eff. Zinssatz</t>
  </si>
  <si>
    <t>Endkapitel</t>
  </si>
  <si>
    <t>Stetige Verzinsung</t>
  </si>
  <si>
    <t>stetige Verzinsung</t>
  </si>
  <si>
    <t xml:space="preserve">Endkapital bei </t>
  </si>
  <si>
    <t>stetiger Verzinsung:</t>
  </si>
  <si>
    <t>Bakterienkultur</t>
  </si>
  <si>
    <t>Kt</t>
  </si>
  <si>
    <t>pro "Zinsperiode"</t>
  </si>
  <si>
    <t>stetig</t>
  </si>
  <si>
    <t>linear</t>
  </si>
  <si>
    <t>Exponentielle Verzinsung</t>
  </si>
  <si>
    <t>Exponentielle verzinsung</t>
  </si>
  <si>
    <t>Stromverbrauch</t>
  </si>
  <si>
    <t>kWh</t>
  </si>
  <si>
    <t>Lineare Steigerung</t>
  </si>
  <si>
    <t>kWh pro Jahr</t>
  </si>
  <si>
    <t>Prozentuale Steigerung</t>
  </si>
  <si>
    <t>pro Jahr</t>
  </si>
  <si>
    <t>Stromverbrauch bei linearer Steigerung</t>
  </si>
  <si>
    <t>Stromverbrauch bei prozentualer Steigerung</t>
  </si>
  <si>
    <t>Vergleich verschiedener Zinsberechnungsmethoden</t>
  </si>
  <si>
    <t>ZInssatz p.a.</t>
  </si>
  <si>
    <t>Frau Schlau</t>
  </si>
  <si>
    <t>Herr Schlecht</t>
  </si>
  <si>
    <t xml:space="preserve">Zinssatz </t>
  </si>
  <si>
    <t xml:space="preserve">Ergebnis: </t>
  </si>
  <si>
    <t>a) bei jährlicher Verzinsung</t>
  </si>
  <si>
    <t>Jahre  (mit Näherungsformel:</t>
  </si>
  <si>
    <t>Jahre)</t>
  </si>
  <si>
    <t>b) bei monatlicher Verzinsung</t>
  </si>
  <si>
    <t>bei monatlicher Verzinsung.</t>
  </si>
  <si>
    <t>Jahre Laufzeit</t>
  </si>
  <si>
    <t>Steuersatz (Vom Zinsertrag wird dieser Satz sofort abgezogen)</t>
  </si>
  <si>
    <t>Inflationsrate</t>
  </si>
  <si>
    <t>Verzinsung Zinssatz p.a.</t>
  </si>
  <si>
    <t>Steuersatz</t>
  </si>
  <si>
    <t>Beginn</t>
  </si>
  <si>
    <t>(30/360-Tagemethode mit Excel-Funktion TAGE360)</t>
  </si>
  <si>
    <t>Zinsen</t>
  </si>
  <si>
    <t xml:space="preserve">Kursrückgang wird ausgeglichen durch eine </t>
  </si>
  <si>
    <t>Kurssteigerung von</t>
  </si>
  <si>
    <t>Hilfsrechnungen 6 Jahre</t>
  </si>
  <si>
    <t>Hilfsrechnungen 5 Jahre</t>
  </si>
  <si>
    <t>Hilfsrechnungen 4 Jahre</t>
  </si>
  <si>
    <t>Hilfsrechnungen 3Jahre</t>
  </si>
  <si>
    <t>Hilfsrechnungen 2Jahre</t>
  </si>
  <si>
    <t>k</t>
  </si>
  <si>
    <t>x(k)</t>
  </si>
  <si>
    <t>g(x(k))</t>
  </si>
  <si>
    <t>Hilfsgrößen</t>
  </si>
  <si>
    <t>1. Jahr</t>
  </si>
  <si>
    <t>Ende des Zinsjahres</t>
  </si>
  <si>
    <t>2. Jahr</t>
  </si>
  <si>
    <t>3. Jahr</t>
  </si>
  <si>
    <t>4. Jahr</t>
  </si>
  <si>
    <t>5. Jahr</t>
  </si>
  <si>
    <t>6. Jahr</t>
  </si>
  <si>
    <t>7. Jahr</t>
  </si>
  <si>
    <t>Mittelwert der Zinssätze:</t>
  </si>
  <si>
    <t>(nach dem 7. Jahr)</t>
  </si>
  <si>
    <t>Verkauf am</t>
  </si>
  <si>
    <t>zinssatz von</t>
  </si>
  <si>
    <t>beträgt</t>
  </si>
  <si>
    <t>Beispiel aus: Pfeifer, Andreas: Praktische Finanzmathematik, Verlag Harri Deutsch</t>
  </si>
  <si>
    <t>Bond</t>
  </si>
  <si>
    <t>Wertpapier</t>
  </si>
  <si>
    <t>Handelstag</t>
  </si>
  <si>
    <t>Prov. usw.</t>
  </si>
  <si>
    <t>Maximal</t>
  </si>
  <si>
    <t>Minimal</t>
  </si>
  <si>
    <t>Sonstige Kosten</t>
  </si>
  <si>
    <t>nächste Zinszahlung</t>
  </si>
  <si>
    <t>Zinszahlungen pro Jahr</t>
  </si>
  <si>
    <t>Kurswert</t>
  </si>
  <si>
    <t>(Methode:actual/actual)</t>
  </si>
  <si>
    <t>Rückzahlungskurs</t>
  </si>
  <si>
    <t xml:space="preserve">    + Gebühren</t>
  </si>
  <si>
    <t>Endpreis</t>
  </si>
  <si>
    <t>J.</t>
  </si>
  <si>
    <t>Zahlungsstrom</t>
  </si>
  <si>
    <t>Nr</t>
  </si>
  <si>
    <t>Fälligkeits-termin</t>
  </si>
  <si>
    <t>Durch- schnittl. Verände-rung seit</t>
  </si>
  <si>
    <t>vervollst. Kurs</t>
  </si>
  <si>
    <t>Gleitender Durchschnitt</t>
  </si>
  <si>
    <t>Veränderung gegenüber Vorwert = i</t>
  </si>
  <si>
    <t>ln(1+i)</t>
  </si>
  <si>
    <t>Mittelwert</t>
  </si>
  <si>
    <t>Standardabw.</t>
  </si>
  <si>
    <t>Volatilität:</t>
  </si>
  <si>
    <t>Festverzinsliche Anleihe</t>
  </si>
  <si>
    <t>Aufg. 2.4a</t>
  </si>
  <si>
    <t>Die Lösung zu Beispiel 2.3.4 finden Sie im Beispiel 1.1.1.</t>
  </si>
  <si>
    <t xml:space="preserve">Kaufpreis einschl. Stückzinsen </t>
  </si>
  <si>
    <t>Unterjährig: act-act-Methode.</t>
  </si>
  <si>
    <t>verwenden wollen, müssen Sie bei der</t>
  </si>
  <si>
    <t>Funktion  BRTEILJAHRE den dritten</t>
  </si>
  <si>
    <t>Parameter (bisher eingestellt bei 1)</t>
  </si>
  <si>
    <t>ändern.</t>
  </si>
  <si>
    <t>Zahlungshöhe vor Steuern adjustiert</t>
  </si>
  <si>
    <t>Beispielbond</t>
  </si>
  <si>
    <t>um</t>
  </si>
  <si>
    <t>des</t>
  </si>
  <si>
    <t xml:space="preserve">Grundwert ist eine Reduzierung </t>
  </si>
  <si>
    <t>VG.</t>
  </si>
  <si>
    <t>Vergleich der Verzinsungsarten</t>
  </si>
  <si>
    <t>Verzinsungsarten</t>
  </si>
  <si>
    <t>Daten für Abb. 2.8.1</t>
  </si>
  <si>
    <t>Daten für Abb. 2.8.2</t>
  </si>
  <si>
    <t>Anleihe mit actual/360</t>
  </si>
  <si>
    <r>
      <t xml:space="preserve">Ergebnis: </t>
    </r>
    <r>
      <rPr>
        <sz val="10"/>
        <rFont val="Helv"/>
      </rPr>
      <t>Zinssatz</t>
    </r>
  </si>
  <si>
    <r>
      <t>Ergebnis:</t>
    </r>
    <r>
      <rPr>
        <sz val="10"/>
        <rFont val="Helv"/>
      </rPr>
      <t xml:space="preserve"> Laufzeit in Jahren</t>
    </r>
  </si>
  <si>
    <r>
      <t xml:space="preserve">Ergebnis:  </t>
    </r>
    <r>
      <rPr>
        <sz val="10"/>
        <rFont val="Helv"/>
      </rPr>
      <t xml:space="preserve"> Angelegter Betrag</t>
    </r>
  </si>
  <si>
    <r>
      <t xml:space="preserve">Ergebnis:  </t>
    </r>
    <r>
      <rPr>
        <sz val="10"/>
        <rFont val="Helv"/>
      </rPr>
      <t xml:space="preserve"> Endkapital</t>
    </r>
  </si>
  <si>
    <t>Daten 2.2.6a)</t>
  </si>
  <si>
    <t>30E/360-Tage*</t>
  </si>
  <si>
    <t>Zinsbetrag</t>
  </si>
  <si>
    <t>Daten 2.2.6b)</t>
  </si>
  <si>
    <t>Daten 2.2.5a)</t>
  </si>
  <si>
    <t>Jahreslänge in Tagen</t>
  </si>
  <si>
    <t>actual/365</t>
  </si>
  <si>
    <t>actual/actual, ICMA</t>
  </si>
  <si>
    <t>Nomineller Zinssatz</t>
  </si>
  <si>
    <t>actual/actual *</t>
  </si>
  <si>
    <t>30E/360**</t>
  </si>
  <si>
    <t>**  30E/360-Tage-Methode wird mit der Excel-Funktion TAGE360 berechnet.</t>
  </si>
  <si>
    <t>*    actual/actual nach ICMA, ISMA</t>
  </si>
  <si>
    <t>Zinszahlung jeweils</t>
  </si>
  <si>
    <t>Nur zum Vergleich:</t>
  </si>
  <si>
    <t>Kurswert:</t>
  </si>
  <si>
    <t>(nur 1,2,3,4,6,12 erlaubt)</t>
  </si>
  <si>
    <t>Kaufpreis (mit Stückzinsen)</t>
  </si>
  <si>
    <t>Nächste Zinszahlung</t>
  </si>
  <si>
    <t>des Nennwertes</t>
  </si>
  <si>
    <t>Rückzahlung bei Fllligkeit</t>
  </si>
  <si>
    <t>(abgerundet auf ganze Euro)</t>
  </si>
  <si>
    <t>in Prozentpunkten</t>
  </si>
  <si>
    <t>Prozent/Prozentpunkte</t>
  </si>
  <si>
    <t>Beispiel a</t>
  </si>
  <si>
    <t>Beispiel b</t>
  </si>
  <si>
    <t>Endkapital bei Zinssatz</t>
  </si>
  <si>
    <t>und</t>
  </si>
  <si>
    <t>Zum Vergleich:</t>
  </si>
  <si>
    <t xml:space="preserve">Zur Information: </t>
  </si>
  <si>
    <t>Das Endkapital beträgt bei exponentieller</t>
  </si>
  <si>
    <t>nur</t>
  </si>
  <si>
    <t>jährlichen Verzinsung von</t>
  </si>
  <si>
    <t>Einzahlungstag = Zinslaufbeginn)</t>
  </si>
  <si>
    <t>Wenn Sie andere Zinstage-Methoden</t>
  </si>
  <si>
    <t xml:space="preserve">Zahlung (fix)   </t>
  </si>
  <si>
    <t>30/360-Tage*</t>
  </si>
  <si>
    <r>
      <t>K</t>
    </r>
    <r>
      <rPr>
        <vertAlign val="subscript"/>
        <sz val="10"/>
        <rFont val="Helv"/>
      </rPr>
      <t>exp, t</t>
    </r>
    <r>
      <rPr>
        <sz val="10"/>
        <rFont val="Helv"/>
      </rPr>
      <t xml:space="preserve"> - K</t>
    </r>
    <r>
      <rPr>
        <vertAlign val="subscript"/>
        <sz val="10"/>
        <rFont val="Helv"/>
      </rPr>
      <t>linear, t</t>
    </r>
  </si>
  <si>
    <t xml:space="preserve">Hinweis: </t>
  </si>
  <si>
    <t>die Tage in</t>
  </si>
  <si>
    <t>mit 360 angegebeben und deshalb bei vollen Jahren</t>
  </si>
  <si>
    <t xml:space="preserve">Wenn in Zelle B6 das Jahresende steht, werden aus programmtechnischen Gründen </t>
  </si>
  <si>
    <t xml:space="preserve">     ein Jahr weniger angezeigt.</t>
  </si>
  <si>
    <t>(Kalenderjährliche Verzinsung; Einzahlungstag wird nicht mitverzinst)</t>
  </si>
  <si>
    <t xml:space="preserve">Gemischte Verzinsung </t>
  </si>
  <si>
    <r>
      <t xml:space="preserve">Laufzeit </t>
    </r>
    <r>
      <rPr>
        <sz val="8"/>
        <rFont val="Helv"/>
      </rPr>
      <t>(Zinsperioden)</t>
    </r>
  </si>
  <si>
    <t>freigestellt</t>
  </si>
  <si>
    <t>Diese Aufgabe kann nicht mit Excel gelöst werden.</t>
  </si>
  <si>
    <t>Periodenzins</t>
  </si>
  <si>
    <t>Wechsel , T-Bills (lineare vorsch. Verzinsung)</t>
  </si>
  <si>
    <t>lineare Zinsen</t>
  </si>
  <si>
    <t xml:space="preserve">exp. </t>
  </si>
  <si>
    <t>auf ein Sparkonto</t>
  </si>
  <si>
    <t>Einzahlungstag wird mitverzinst, Auszahlungstag aber nicht mitverzinst,</t>
  </si>
  <si>
    <t>d.h. Verzinsung ab Einzahlungstag 0.00 Uhr bis zum Auszahlungstag 0.00 Uhr.</t>
  </si>
  <si>
    <t>d.h. Verzinsung ab Einzahlungstag 24.00 Uhr bis zum Auszahlungstag 24.00 Uhr.</t>
  </si>
  <si>
    <t>Einzahlungstag wird nicht mitverzinst, Auszahlungstag wird mitverzinst,</t>
  </si>
  <si>
    <t>Gemischte Verzinsung (Einzahlungstag wird nicht mitverzinst, 30E/360-Tage-Methode)</t>
  </si>
  <si>
    <t>letzte Kuponzahlung</t>
  </si>
  <si>
    <t>Anzahl Kuponz.</t>
  </si>
  <si>
    <t>Angaben werden nur für actual/actual, ICMA benötigt.</t>
  </si>
  <si>
    <t>Rendite beim Typ 1 nach dem ... Jahr</t>
  </si>
  <si>
    <t>Rendite bei Typ 1:</t>
  </si>
  <si>
    <t>Rückzahlungswert Typ 1</t>
  </si>
  <si>
    <r>
      <t>Reale Rendite</t>
    </r>
    <r>
      <rPr>
        <sz val="10"/>
        <rFont val="Helv"/>
      </rPr>
      <t xml:space="preserve"> beim Typ 2 nach 6 Jahren bei einem Wiederanlage-</t>
    </r>
  </si>
  <si>
    <r>
      <t xml:space="preserve">Die Lösung finden Sie unter </t>
    </r>
    <r>
      <rPr>
        <b/>
        <sz val="10"/>
        <rFont val="Helv"/>
      </rPr>
      <t>Beisp.2.3.5</t>
    </r>
  </si>
  <si>
    <t>Vermögen beim Typ 1 (Zinsansammlung) nach dem ... Jahr</t>
  </si>
  <si>
    <t>Rendite beim Typ 2 (Jährl. Zinszahlung) nach dem ... Jahr</t>
  </si>
  <si>
    <t>Hilfsrechnungen 7 Jahre</t>
  </si>
  <si>
    <t xml:space="preserve">auf ein Sparkonto </t>
  </si>
  <si>
    <t>Ergebnisse bei der 30E/360-Tagemethode und kalenderjährl. Verzinsung</t>
  </si>
  <si>
    <t>exp. Zinsen (Kap. 2.3)</t>
  </si>
  <si>
    <t>weil sie für die Lösung der Aufgabe nicht erforderlich sind.</t>
  </si>
  <si>
    <t>(Typ 1 entspricht einem Bundesschatzbrief vom Typ B. Typ 2 entspricht einem Bundesschatzbrief vom Typ A.)</t>
  </si>
  <si>
    <t>Sparbrief mit wachsendem Zins (Typ 1: Zinsansammlung, Typ 2: jährliche Zinsauszahlung)</t>
  </si>
  <si>
    <t>Diese Datenwerte sind in die Tabelle links</t>
  </si>
  <si>
    <t>einzusetzen, um die Ergebnisse zu erhalten.</t>
  </si>
  <si>
    <t>Anlage für 1 Jahr</t>
  </si>
  <si>
    <t>Anlage direkt</t>
  </si>
  <si>
    <t>Anlage für 1/2 und nochmal für 1/2 Jahr</t>
  </si>
  <si>
    <t xml:space="preserve">Das 2. Halbjahr wird vezinst  mit </t>
  </si>
  <si>
    <t>. Endkapital</t>
  </si>
  <si>
    <t>Am unteren Rand sehen Sie die Arbeitsblätter, die in dieser Datei enthalten sind.</t>
  </si>
  <si>
    <t>Hinweise:</t>
  </si>
  <si>
    <t>Werte in den weißen Zellen der Arbeitsblätter können geändert werden.</t>
  </si>
  <si>
    <t>Alle Angaben ohne Gewähr</t>
  </si>
  <si>
    <t>Andreas Pfeifer</t>
  </si>
  <si>
    <t>Kapitel 2: Zinsrechnung</t>
  </si>
  <si>
    <t>(positiver Zinssatz)</t>
  </si>
  <si>
    <t>bei negativem Zinssatz</t>
  </si>
  <si>
    <t>Daten für Abb.</t>
  </si>
  <si>
    <t>Zinssatz für 1 Monat</t>
  </si>
  <si>
    <t>Anlagen in Fremdwährungen (Daten aus 5. Auflage)</t>
  </si>
  <si>
    <t>Der Brief-Kurs am 26.07. und der Geldkurs am 26.8 sind in der Tabelle nicht angegeben,</t>
  </si>
  <si>
    <t>Summe</t>
  </si>
  <si>
    <t>d</t>
  </si>
  <si>
    <t>c</t>
  </si>
  <si>
    <t>b</t>
  </si>
  <si>
    <t>a</t>
  </si>
  <si>
    <t>Zinsssätze:</t>
  </si>
  <si>
    <t>Zinseszinseffekt bei niedrigen Zinssätzen</t>
  </si>
  <si>
    <t>expnonentiell</t>
  </si>
  <si>
    <t xml:space="preserve">"Finanzmathematik - Lehrbuch für Studium und Praxis"  </t>
  </si>
  <si>
    <t>Diese Datei enthält Lösungen zu Beispielen und Übungsaufgaben aus</t>
  </si>
  <si>
    <t>In diesem Buch finden Sie auch weitere Informationen zur Benutzung dieser Excel-Datei.</t>
  </si>
  <si>
    <t>von Andreas Pfeifer. Es ist erschienen im Verlag Europa-Lehrmittel.</t>
  </si>
  <si>
    <t>lin.</t>
  </si>
  <si>
    <t>Verzinsungsart</t>
  </si>
  <si>
    <t>Endwerte (Zahlenwerte auf volle Euro gerundet)</t>
  </si>
  <si>
    <t>Inflationsrate A  p.a.</t>
  </si>
  <si>
    <t xml:space="preserve">Freibetrag </t>
  </si>
  <si>
    <t>Kaufkraft bei Inflation A</t>
  </si>
  <si>
    <t>Endkapital  (keine Steuern)</t>
  </si>
  <si>
    <t>Endkapital nach Steuern</t>
  </si>
  <si>
    <t>Kaufkraft bei Inflation B</t>
  </si>
  <si>
    <t>Inflationsrate B</t>
  </si>
  <si>
    <t>Kaufkraft einer Geldanlage bei verschiedenen Zinssätzen und Laufzeiten</t>
  </si>
  <si>
    <t>Daten für die Grafik des Wertverlaufs (Kaufkraft) einer Kapitalanlage</t>
  </si>
  <si>
    <t>Jahren ein Vermögen von</t>
  </si>
  <si>
    <t xml:space="preserve"> bei </t>
  </si>
  <si>
    <t>Inflation und einer Sparrendite von</t>
  </si>
  <si>
    <t>ein Vermögenswert von</t>
  </si>
  <si>
    <t>Euro  (=Kaufkraft) zu besitzen?</t>
  </si>
  <si>
    <t>Wie viel Euro müssen Sie monatlich sparen, um nach</t>
  </si>
  <si>
    <t>=</t>
  </si>
  <si>
    <t>Gleiches Kapital wie bei</t>
  </si>
  <si>
    <t>Aufgabe 2.5 (Verdopplungszeit)</t>
  </si>
  <si>
    <t>Aufgabe 2.6:</t>
  </si>
  <si>
    <t>Ergänzung zum Buch</t>
  </si>
  <si>
    <t>Arbeitsblatt Zinszeszinseffekt  /nach Beispiel 2.8.2)</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</si>
</sst>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0.00\ &quot;€&quot;_-;\-* #,##0.00\ &quot;€&quot;_-;_-* &quot;-&quot;??\ &quot;€&quot;_-;_-@_-"/>
    <numFmt numFmtId="164" formatCode="#,##0\ &quot;DM&quot;;[Red]\-#,##0\ &quot;DM&quot;"/>
    <numFmt numFmtId="165" formatCode="#,##0.00;[Red]\-#,##0.00"/>
    <numFmt numFmtId="166" formatCode="0.0000%"/>
    <numFmt numFmtId="167" formatCode="0.000%"/>
    <numFmt numFmtId="168" formatCode="0.00000"/>
    <numFmt numFmtId="169" formatCode="0.000"/>
    <numFmt numFmtId="170" formatCode="#,##0.000"/>
    <numFmt numFmtId="171" formatCode="0.0"/>
    <numFmt numFmtId="172" formatCode="0.00000%"/>
    <numFmt numFmtId="173" formatCode="0.0%"/>
    <numFmt numFmtId="174" formatCode="0.000\ %"/>
    <numFmt numFmtId="175" formatCode="_-* #,##0.00\ _D_M_-;\-* #,##0.00\ _D_M_-;_-* &quot;-&quot;??\ _D_M_-;_-@_-"/>
    <numFmt numFmtId="176" formatCode="dd\ mm\ yyyy"/>
    <numFmt numFmtId="177" formatCode="#\ ???/???"/>
    <numFmt numFmtId="178" formatCode="0.0000"/>
    <numFmt numFmtId="179" formatCode="dd/mm/"/>
    <numFmt numFmtId="180" formatCode="d/m/yyyy;@"/>
  </numFmts>
  <fonts count="22">
    <font>
      <sz val="10"/>
      <name val="Helv"/>
    </font>
    <font>
      <b/>
      <sz val="10"/>
      <name val="Helv"/>
    </font>
    <font>
      <sz val="10"/>
      <name val="Helv"/>
    </font>
    <font>
      <b/>
      <sz val="10"/>
      <name val="Arial"/>
      <family val="2"/>
    </font>
    <font>
      <sz val="10"/>
      <name val="Arial"/>
      <family val="2"/>
    </font>
    <font>
      <vertAlign val="subscript"/>
      <sz val="8"/>
      <name val="Helv"/>
    </font>
    <font>
      <vertAlign val="superscript"/>
      <sz val="8"/>
      <name val="Helv"/>
    </font>
    <font>
      <u/>
      <sz val="10"/>
      <name val="Helv"/>
    </font>
    <font>
      <b/>
      <sz val="12"/>
      <name val="Arial"/>
      <family val="2"/>
    </font>
    <font>
      <sz val="12"/>
      <name val="Arial"/>
      <family val="2"/>
    </font>
    <font>
      <sz val="6"/>
      <name val="Arial"/>
      <family val="2"/>
    </font>
    <font>
      <sz val="12"/>
      <name val="Helv"/>
    </font>
    <font>
      <sz val="10"/>
      <name val="Arial"/>
      <family val="2"/>
    </font>
    <font>
      <sz val="10"/>
      <color indexed="81"/>
      <name val="Tahoma"/>
      <family val="2"/>
    </font>
    <font>
      <sz val="12"/>
      <color indexed="81"/>
      <name val="Tahoma"/>
      <family val="2"/>
    </font>
    <font>
      <b/>
      <sz val="12"/>
      <name val="Arial"/>
      <family val="2"/>
    </font>
    <font>
      <b/>
      <sz val="12"/>
      <name val="Helv"/>
    </font>
    <font>
      <sz val="8"/>
      <name val="Helv"/>
    </font>
    <font>
      <vertAlign val="subscript"/>
      <sz val="10"/>
      <name val="Helv"/>
    </font>
    <font>
      <b/>
      <sz val="10"/>
      <color rgb="FF000000"/>
      <name val="Helv"/>
    </font>
    <font>
      <b/>
      <sz val="18"/>
      <name val="Helv"/>
    </font>
    <font>
      <sz val="9"/>
      <name val="NewsGoth BT"/>
      <family val="2"/>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6" tint="0.79998168889431442"/>
        <bgColor indexed="64"/>
      </patternFill>
    </fill>
    <fill>
      <patternFill patternType="solid">
        <fgColor theme="8" tint="0.599963377788628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2">
    <xf numFmtId="0" fontId="0" fillId="0" borderId="0"/>
    <xf numFmtId="165" fontId="2" fillId="0" borderId="0" applyFont="0" applyFill="0" applyBorder="0" applyAlignment="0" applyProtection="0"/>
    <xf numFmtId="175" fontId="4" fillId="0" borderId="0" applyFont="0" applyFill="0" applyBorder="0" applyAlignment="0" applyProtection="0"/>
    <xf numFmtId="44" fontId="4" fillId="0" borderId="0" applyFont="0" applyFill="0" applyBorder="0" applyAlignment="0" applyProtection="0"/>
    <xf numFmtId="4" fontId="2" fillId="0" borderId="0" applyFont="0" applyFill="0" applyBorder="0" applyAlignment="0" applyProtection="0"/>
    <xf numFmtId="9" fontId="2" fillId="0" borderId="0" applyFont="0" applyFill="0" applyBorder="0" applyAlignment="0" applyProtection="0"/>
    <xf numFmtId="0" fontId="4" fillId="0" borderId="0"/>
    <xf numFmtId="0" fontId="2" fillId="0" borderId="0"/>
    <xf numFmtId="0" fontId="4" fillId="0" borderId="0"/>
    <xf numFmtId="0" fontId="2" fillId="0" borderId="0"/>
    <xf numFmtId="0" fontId="4" fillId="0" borderId="0"/>
    <xf numFmtId="0" fontId="21" fillId="0" borderId="11" applyNumberFormat="0" applyProtection="0">
      <alignment horizontal="left" vertical="top"/>
    </xf>
  </cellStyleXfs>
  <cellXfs count="325">
    <xf numFmtId="0" fontId="0" fillId="0" borderId="0" xfId="0"/>
    <xf numFmtId="0" fontId="0" fillId="0" borderId="0" xfId="0" applyAlignment="1">
      <alignment horizontal="right"/>
    </xf>
    <xf numFmtId="0" fontId="1" fillId="0" borderId="0" xfId="0" applyFont="1"/>
    <xf numFmtId="0" fontId="0" fillId="0" borderId="1" xfId="0" applyBorder="1"/>
    <xf numFmtId="2" fontId="0" fillId="0" borderId="0" xfId="0" applyNumberFormat="1"/>
    <xf numFmtId="0" fontId="0" fillId="0" borderId="0" xfId="0" applyAlignment="1">
      <alignment wrapText="1"/>
    </xf>
    <xf numFmtId="0" fontId="0" fillId="0" borderId="0" xfId="0" applyAlignment="1">
      <alignment horizontal="center"/>
    </xf>
    <xf numFmtId="0" fontId="4" fillId="0" borderId="0" xfId="6"/>
    <xf numFmtId="0" fontId="1" fillId="2" borderId="0" xfId="0" applyFont="1" applyFill="1"/>
    <xf numFmtId="0" fontId="0" fillId="2" borderId="0" xfId="0" applyFill="1"/>
    <xf numFmtId="0" fontId="0" fillId="2" borderId="1" xfId="0" applyFill="1" applyBorder="1" applyAlignment="1">
      <alignment horizontal="right" wrapText="1"/>
    </xf>
    <xf numFmtId="4" fontId="0" fillId="2" borderId="1" xfId="0" applyNumberFormat="1" applyFill="1" applyBorder="1"/>
    <xf numFmtId="167" fontId="0" fillId="2" borderId="1" xfId="0" applyNumberFormat="1" applyFill="1" applyBorder="1"/>
    <xf numFmtId="4" fontId="0" fillId="2" borderId="0" xfId="0" applyNumberFormat="1" applyFill="1" applyBorder="1"/>
    <xf numFmtId="169" fontId="0" fillId="2" borderId="0" xfId="0" applyNumberFormat="1" applyFill="1" applyBorder="1"/>
    <xf numFmtId="0" fontId="0" fillId="2" borderId="0" xfId="0" applyFill="1" applyBorder="1"/>
    <xf numFmtId="0" fontId="0" fillId="2" borderId="1" xfId="0" applyFill="1" applyBorder="1" applyAlignment="1">
      <alignment horizontal="right"/>
    </xf>
    <xf numFmtId="4" fontId="0" fillId="3" borderId="1" xfId="0" applyNumberFormat="1" applyFill="1" applyBorder="1"/>
    <xf numFmtId="167" fontId="0" fillId="3" borderId="1" xfId="5" applyNumberFormat="1" applyFont="1" applyFill="1" applyBorder="1"/>
    <xf numFmtId="0" fontId="0" fillId="3" borderId="1" xfId="0" applyFill="1" applyBorder="1"/>
    <xf numFmtId="167" fontId="0" fillId="3" borderId="1" xfId="0" applyNumberFormat="1" applyFill="1" applyBorder="1"/>
    <xf numFmtId="174" fontId="0" fillId="3" borderId="1" xfId="0" applyNumberFormat="1" applyFill="1" applyBorder="1"/>
    <xf numFmtId="0" fontId="0" fillId="3" borderId="0" xfId="0" applyFill="1"/>
    <xf numFmtId="2" fontId="0" fillId="3" borderId="0" xfId="0" applyNumberFormat="1" applyFill="1"/>
    <xf numFmtId="9" fontId="0" fillId="3" borderId="0" xfId="0" applyNumberFormat="1" applyFill="1"/>
    <xf numFmtId="9" fontId="0" fillId="3" borderId="0" xfId="0" applyNumberFormat="1" applyFill="1" applyBorder="1"/>
    <xf numFmtId="0" fontId="0" fillId="3" borderId="0" xfId="0" applyFill="1" applyBorder="1"/>
    <xf numFmtId="2" fontId="0" fillId="3" borderId="0" xfId="0" applyNumberFormat="1" applyFill="1" applyBorder="1"/>
    <xf numFmtId="167" fontId="0" fillId="3" borderId="0" xfId="0" applyNumberFormat="1" applyFill="1"/>
    <xf numFmtId="9" fontId="0" fillId="3" borderId="1" xfId="0" applyNumberFormat="1" applyFill="1" applyBorder="1"/>
    <xf numFmtId="166" fontId="0" fillId="2" borderId="0" xfId="5" applyNumberFormat="1" applyFont="1" applyFill="1"/>
    <xf numFmtId="0" fontId="0" fillId="2" borderId="0" xfId="0" applyFill="1" applyAlignment="1">
      <alignment horizontal="right"/>
    </xf>
    <xf numFmtId="0" fontId="0" fillId="3" borderId="1" xfId="0" applyFill="1" applyBorder="1" applyAlignment="1">
      <alignment horizontal="center"/>
    </xf>
    <xf numFmtId="2" fontId="0" fillId="3" borderId="1" xfId="0" applyNumberFormat="1" applyFill="1" applyBorder="1" applyAlignment="1">
      <alignment horizontal="center"/>
    </xf>
    <xf numFmtId="0" fontId="0" fillId="3" borderId="1" xfId="0" applyNumberFormat="1" applyFill="1" applyBorder="1"/>
    <xf numFmtId="14" fontId="0" fillId="3" borderId="0" xfId="0" applyNumberFormat="1" applyFill="1"/>
    <xf numFmtId="166" fontId="0" fillId="3" borderId="1" xfId="0" applyNumberFormat="1" applyFill="1" applyBorder="1"/>
    <xf numFmtId="164" fontId="0" fillId="3" borderId="1" xfId="0" applyNumberFormat="1" applyFill="1" applyBorder="1" applyAlignment="1">
      <alignment horizontal="left"/>
    </xf>
    <xf numFmtId="167" fontId="0" fillId="2" borderId="0" xfId="0" applyNumberFormat="1" applyFill="1" applyBorder="1"/>
    <xf numFmtId="0" fontId="0" fillId="2" borderId="1" xfId="0" applyNumberFormat="1" applyFill="1" applyBorder="1"/>
    <xf numFmtId="0" fontId="0" fillId="2" borderId="1" xfId="0" applyFill="1" applyBorder="1" applyAlignment="1">
      <alignment horizontal="center" wrapText="1"/>
    </xf>
    <xf numFmtId="3" fontId="0" fillId="2" borderId="1" xfId="0" applyNumberFormat="1" applyFill="1" applyBorder="1"/>
    <xf numFmtId="3" fontId="0" fillId="3" borderId="0" xfId="0" applyNumberFormat="1" applyFill="1"/>
    <xf numFmtId="0" fontId="2" fillId="3" borderId="1" xfId="0" applyFont="1" applyFill="1" applyBorder="1" applyAlignment="1">
      <alignment horizontal="center"/>
    </xf>
    <xf numFmtId="2" fontId="0" fillId="2" borderId="0" xfId="0" applyNumberFormat="1" applyFill="1"/>
    <xf numFmtId="0" fontId="0" fillId="2" borderId="2" xfId="0" applyFill="1" applyBorder="1" applyAlignment="1">
      <alignment horizontal="right"/>
    </xf>
    <xf numFmtId="0" fontId="0" fillId="2" borderId="3" xfId="0" applyFill="1" applyBorder="1"/>
    <xf numFmtId="0" fontId="0" fillId="2" borderId="4" xfId="0" applyFill="1" applyBorder="1"/>
    <xf numFmtId="0" fontId="0" fillId="2" borderId="5" xfId="0" applyFill="1" applyBorder="1" applyAlignment="1">
      <alignment horizontal="right"/>
    </xf>
    <xf numFmtId="0" fontId="0" fillId="2" borderId="1" xfId="0" applyFill="1" applyBorder="1"/>
    <xf numFmtId="171" fontId="0" fillId="2" borderId="1" xfId="0" applyNumberFormat="1" applyFill="1" applyBorder="1"/>
    <xf numFmtId="0" fontId="0" fillId="2" borderId="5" xfId="0" applyFill="1" applyBorder="1" applyAlignment="1">
      <alignment horizontal="right" wrapText="1"/>
    </xf>
    <xf numFmtId="0" fontId="0" fillId="2" borderId="6" xfId="0" applyFill="1" applyBorder="1" applyAlignment="1">
      <alignment horizontal="centerContinuous"/>
    </xf>
    <xf numFmtId="0" fontId="0" fillId="2" borderId="4" xfId="0" applyFill="1" applyBorder="1" applyAlignment="1">
      <alignment horizontal="centerContinuous"/>
    </xf>
    <xf numFmtId="167" fontId="0" fillId="2" borderId="0" xfId="0" applyNumberFormat="1" applyFill="1"/>
    <xf numFmtId="0" fontId="0" fillId="2" borderId="7" xfId="0" applyFill="1" applyBorder="1" applyAlignment="1">
      <alignment horizontal="right"/>
    </xf>
    <xf numFmtId="0" fontId="0" fillId="2" borderId="0" xfId="0" applyFill="1" applyAlignment="1">
      <alignment horizontal="left"/>
    </xf>
    <xf numFmtId="4" fontId="2" fillId="2" borderId="0" xfId="0" applyNumberFormat="1" applyFont="1" applyFill="1"/>
    <xf numFmtId="4" fontId="1" fillId="2" borderId="0" xfId="0" applyNumberFormat="1" applyFont="1" applyFill="1"/>
    <xf numFmtId="14" fontId="0" fillId="3" borderId="1" xfId="0" applyNumberFormat="1" applyFill="1" applyBorder="1"/>
    <xf numFmtId="2" fontId="0" fillId="2" borderId="1" xfId="0" applyNumberFormat="1" applyFill="1" applyBorder="1"/>
    <xf numFmtId="0" fontId="0" fillId="2" borderId="8" xfId="0" applyFill="1" applyBorder="1"/>
    <xf numFmtId="0" fontId="0" fillId="2" borderId="9" xfId="0" applyFill="1" applyBorder="1"/>
    <xf numFmtId="0" fontId="0" fillId="2" borderId="5" xfId="0" applyFill="1" applyBorder="1"/>
    <xf numFmtId="167" fontId="0" fillId="2" borderId="1" xfId="5" applyNumberFormat="1" applyFont="1" applyFill="1" applyBorder="1"/>
    <xf numFmtId="10" fontId="0" fillId="2" borderId="0" xfId="0" applyNumberFormat="1" applyFill="1"/>
    <xf numFmtId="2" fontId="0" fillId="3" borderId="1" xfId="0" applyNumberFormat="1" applyFill="1" applyBorder="1"/>
    <xf numFmtId="0" fontId="0" fillId="2" borderId="0" xfId="0" applyFill="1" applyAlignment="1">
      <alignment horizontal="centerContinuous"/>
    </xf>
    <xf numFmtId="0" fontId="0" fillId="2" borderId="9" xfId="0" applyFill="1" applyBorder="1" applyAlignment="1">
      <alignment horizontal="right"/>
    </xf>
    <xf numFmtId="0" fontId="0" fillId="2" borderId="3" xfId="0" applyFill="1" applyBorder="1" applyAlignment="1">
      <alignment horizontal="right"/>
    </xf>
    <xf numFmtId="2" fontId="0" fillId="3" borderId="10" xfId="0" applyNumberFormat="1" applyFill="1" applyBorder="1"/>
    <xf numFmtId="167" fontId="0" fillId="3" borderId="10" xfId="0" applyNumberFormat="1" applyFill="1" applyBorder="1"/>
    <xf numFmtId="0" fontId="0" fillId="3" borderId="10" xfId="0" applyFill="1" applyBorder="1"/>
    <xf numFmtId="4" fontId="0" fillId="3" borderId="10" xfId="0" applyNumberFormat="1" applyFill="1" applyBorder="1"/>
    <xf numFmtId="0" fontId="0" fillId="2" borderId="10" xfId="0" applyFill="1" applyBorder="1"/>
    <xf numFmtId="167" fontId="0" fillId="2" borderId="5" xfId="5" applyNumberFormat="1" applyFont="1" applyFill="1" applyBorder="1"/>
    <xf numFmtId="0" fontId="0" fillId="3" borderId="3" xfId="0" applyFill="1" applyBorder="1" applyAlignment="1">
      <alignment horizontal="center"/>
    </xf>
    <xf numFmtId="169" fontId="0" fillId="2" borderId="0" xfId="0" applyNumberFormat="1" applyFill="1"/>
    <xf numFmtId="174" fontId="0" fillId="3" borderId="0" xfId="0" applyNumberFormat="1" applyFill="1"/>
    <xf numFmtId="0" fontId="0" fillId="2" borderId="2" xfId="0" applyFill="1" applyBorder="1"/>
    <xf numFmtId="0" fontId="0" fillId="2" borderId="11" xfId="0" applyFill="1" applyBorder="1"/>
    <xf numFmtId="0" fontId="0" fillId="2" borderId="12" xfId="0" applyFill="1" applyBorder="1"/>
    <xf numFmtId="0" fontId="0" fillId="2" borderId="7" xfId="0" applyFill="1" applyBorder="1"/>
    <xf numFmtId="0" fontId="0" fillId="2" borderId="2" xfId="0" applyFill="1" applyBorder="1" applyAlignment="1">
      <alignment horizontal="centerContinuous"/>
    </xf>
    <xf numFmtId="0" fontId="0" fillId="2" borderId="11" xfId="0" applyFill="1" applyBorder="1" applyAlignment="1">
      <alignment horizontal="centerContinuous"/>
    </xf>
    <xf numFmtId="0" fontId="0" fillId="2" borderId="12" xfId="0" applyFill="1" applyBorder="1" applyAlignment="1">
      <alignment horizontal="centerContinuous"/>
    </xf>
    <xf numFmtId="3" fontId="0" fillId="3" borderId="1" xfId="0" applyNumberFormat="1" applyFill="1" applyBorder="1"/>
    <xf numFmtId="16" fontId="0" fillId="0" borderId="0" xfId="0" applyNumberFormat="1"/>
    <xf numFmtId="0" fontId="0" fillId="2" borderId="6" xfId="0" applyFill="1" applyBorder="1"/>
    <xf numFmtId="0" fontId="0" fillId="2" borderId="13" xfId="0" applyFill="1" applyBorder="1"/>
    <xf numFmtId="0" fontId="0" fillId="2" borderId="12" xfId="0" applyFill="1" applyBorder="1" applyAlignment="1">
      <alignment horizontal="right"/>
    </xf>
    <xf numFmtId="0" fontId="0" fillId="2" borderId="14" xfId="0" applyFill="1" applyBorder="1" applyAlignment="1">
      <alignment horizontal="right"/>
    </xf>
    <xf numFmtId="0" fontId="0" fillId="2" borderId="0" xfId="0" applyFill="1" applyBorder="1" applyAlignment="1">
      <alignment horizontal="left"/>
    </xf>
    <xf numFmtId="4" fontId="2" fillId="2" borderId="15" xfId="0" applyNumberFormat="1" applyFont="1" applyFill="1" applyBorder="1"/>
    <xf numFmtId="0" fontId="0" fillId="2" borderId="0" xfId="0" applyFill="1" applyBorder="1" applyAlignment="1">
      <alignment horizontal="right"/>
    </xf>
    <xf numFmtId="0" fontId="0" fillId="2" borderId="8" xfId="0" applyFill="1" applyBorder="1" applyAlignment="1">
      <alignment horizontal="right"/>
    </xf>
    <xf numFmtId="0" fontId="0" fillId="2" borderId="7" xfId="0" applyFill="1" applyBorder="1" applyAlignment="1">
      <alignment horizontal="left"/>
    </xf>
    <xf numFmtId="4" fontId="2" fillId="2" borderId="9" xfId="0" applyNumberFormat="1" applyFont="1" applyFill="1" applyBorder="1"/>
    <xf numFmtId="4" fontId="0" fillId="2" borderId="0" xfId="0" applyNumberFormat="1" applyFill="1"/>
    <xf numFmtId="4" fontId="0" fillId="3" borderId="0" xfId="0" applyNumberFormat="1" applyFill="1"/>
    <xf numFmtId="14" fontId="0" fillId="2" borderId="0" xfId="0" applyNumberFormat="1" applyFill="1"/>
    <xf numFmtId="0" fontId="0" fillId="2" borderId="0" xfId="0" applyNumberFormat="1" applyFill="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2" borderId="1" xfId="0" applyFill="1" applyBorder="1" applyAlignment="1">
      <alignment horizontal="center"/>
    </xf>
    <xf numFmtId="167" fontId="0" fillId="2" borderId="1" xfId="0" applyNumberFormat="1" applyFill="1" applyBorder="1" applyAlignment="1">
      <alignment horizontal="center"/>
    </xf>
    <xf numFmtId="168" fontId="0" fillId="2" borderId="1" xfId="0" applyNumberFormat="1" applyFill="1" applyBorder="1" applyAlignment="1"/>
    <xf numFmtId="0" fontId="0" fillId="2" borderId="0" xfId="0" applyFill="1" applyAlignment="1">
      <alignment horizontal="center"/>
    </xf>
    <xf numFmtId="167" fontId="0" fillId="2" borderId="0" xfId="5" applyNumberFormat="1" applyFont="1" applyFill="1"/>
    <xf numFmtId="2" fontId="1" fillId="2" borderId="0" xfId="0" applyNumberFormat="1" applyFont="1" applyFill="1"/>
    <xf numFmtId="1" fontId="0" fillId="2" borderId="0" xfId="0" applyNumberFormat="1" applyFill="1"/>
    <xf numFmtId="0" fontId="4" fillId="2" borderId="1" xfId="6" applyFill="1" applyBorder="1" applyAlignment="1">
      <alignment horizontal="right"/>
    </xf>
    <xf numFmtId="0" fontId="4" fillId="2" borderId="1" xfId="6" applyFill="1" applyBorder="1"/>
    <xf numFmtId="0" fontId="4" fillId="2" borderId="0" xfId="6" applyFill="1"/>
    <xf numFmtId="0" fontId="4" fillId="2" borderId="0" xfId="6" applyFill="1" applyBorder="1"/>
    <xf numFmtId="0" fontId="4" fillId="2" borderId="0" xfId="6" applyFill="1" applyBorder="1" applyAlignment="1">
      <alignment horizontal="right"/>
    </xf>
    <xf numFmtId="9" fontId="4" fillId="2" borderId="0" xfId="6" applyNumberFormat="1" applyFill="1" applyBorder="1"/>
    <xf numFmtId="0" fontId="0" fillId="2" borderId="10" xfId="0" applyFill="1" applyBorder="1" applyAlignment="1">
      <alignment horizontal="right"/>
    </xf>
    <xf numFmtId="0" fontId="4" fillId="2" borderId="1" xfId="6" applyFill="1" applyBorder="1" applyAlignment="1">
      <alignment horizontal="right" wrapText="1"/>
    </xf>
    <xf numFmtId="170" fontId="4" fillId="2" borderId="1" xfId="6" applyNumberFormat="1" applyFill="1" applyBorder="1"/>
    <xf numFmtId="170" fontId="3" fillId="2" borderId="1" xfId="6" applyNumberFormat="1" applyFont="1" applyFill="1" applyBorder="1"/>
    <xf numFmtId="172" fontId="0" fillId="2" borderId="0" xfId="5" applyNumberFormat="1" applyFont="1" applyFill="1"/>
    <xf numFmtId="0" fontId="0" fillId="2" borderId="14" xfId="0" applyFill="1" applyBorder="1"/>
    <xf numFmtId="0" fontId="0" fillId="2" borderId="15" xfId="0" applyFill="1" applyBorder="1"/>
    <xf numFmtId="167" fontId="0" fillId="2" borderId="7" xfId="5" applyNumberFormat="1" applyFont="1" applyFill="1" applyBorder="1"/>
    <xf numFmtId="2" fontId="0" fillId="2" borderId="0" xfId="0" applyNumberFormat="1" applyFill="1" applyBorder="1"/>
    <xf numFmtId="167" fontId="0" fillId="2" borderId="0" xfId="5" applyNumberFormat="1" applyFont="1" applyFill="1" applyBorder="1"/>
    <xf numFmtId="0" fontId="1" fillId="2" borderId="1" xfId="0" applyFont="1" applyFill="1" applyBorder="1" applyAlignment="1">
      <alignment horizontal="right" wrapText="1"/>
    </xf>
    <xf numFmtId="4" fontId="0" fillId="2" borderId="1" xfId="0" applyNumberFormat="1" applyFill="1" applyBorder="1" applyAlignment="1">
      <alignment horizontal="right"/>
    </xf>
    <xf numFmtId="0" fontId="0" fillId="2" borderId="1" xfId="5" applyNumberFormat="1" applyFont="1" applyFill="1" applyBorder="1"/>
    <xf numFmtId="166" fontId="0" fillId="2" borderId="1" xfId="5" applyNumberFormat="1" applyFont="1" applyFill="1" applyBorder="1"/>
    <xf numFmtId="9" fontId="0" fillId="2" borderId="0" xfId="0" applyNumberFormat="1" applyFill="1"/>
    <xf numFmtId="0" fontId="1" fillId="2" borderId="0" xfId="0" applyNumberFormat="1" applyFont="1" applyFill="1"/>
    <xf numFmtId="0" fontId="1" fillId="2" borderId="0" xfId="0" applyFont="1" applyFill="1" applyAlignment="1">
      <alignment horizontal="right"/>
    </xf>
    <xf numFmtId="2" fontId="0" fillId="3" borderId="11" xfId="0" applyNumberFormat="1" applyFill="1" applyBorder="1"/>
    <xf numFmtId="0" fontId="0" fillId="3" borderId="11" xfId="0" applyFill="1" applyBorder="1"/>
    <xf numFmtId="9" fontId="0" fillId="3" borderId="11" xfId="0" applyNumberFormat="1" applyFill="1" applyBorder="1"/>
    <xf numFmtId="2" fontId="0" fillId="2" borderId="12" xfId="0" applyNumberFormat="1" applyFill="1" applyBorder="1"/>
    <xf numFmtId="0" fontId="2" fillId="2" borderId="0" xfId="0" applyFont="1" applyFill="1" applyAlignment="1">
      <alignment horizontal="right"/>
    </xf>
    <xf numFmtId="9" fontId="0" fillId="3" borderId="1" xfId="0" applyNumberFormat="1" applyFill="1" applyBorder="1" applyAlignment="1">
      <alignment horizontal="center"/>
    </xf>
    <xf numFmtId="9" fontId="0" fillId="3" borderId="1" xfId="0" applyNumberFormat="1" applyFill="1" applyBorder="1" applyAlignment="1">
      <alignment horizontal="center" wrapText="1"/>
    </xf>
    <xf numFmtId="0" fontId="0" fillId="2" borderId="0" xfId="0" applyFill="1" applyAlignment="1">
      <alignment wrapText="1"/>
    </xf>
    <xf numFmtId="0" fontId="0" fillId="2" borderId="3" xfId="0" applyFill="1" applyBorder="1" applyAlignment="1">
      <alignment wrapText="1"/>
    </xf>
    <xf numFmtId="2" fontId="0" fillId="2" borderId="10" xfId="0" applyNumberFormat="1" applyFill="1" applyBorder="1"/>
    <xf numFmtId="167" fontId="0" fillId="2" borderId="5" xfId="0" applyNumberFormat="1" applyFill="1" applyBorder="1"/>
    <xf numFmtId="169" fontId="0" fillId="2" borderId="1" xfId="0" applyNumberFormat="1" applyFill="1" applyBorder="1"/>
    <xf numFmtId="10" fontId="0" fillId="2" borderId="1" xfId="5" applyNumberFormat="1" applyFont="1" applyFill="1" applyBorder="1"/>
    <xf numFmtId="0" fontId="0" fillId="2" borderId="5" xfId="0" applyFill="1" applyBorder="1" applyAlignment="1">
      <alignment horizontal="center"/>
    </xf>
    <xf numFmtId="0" fontId="7" fillId="2" borderId="0" xfId="0" applyFont="1" applyFill="1" applyAlignment="1">
      <alignment horizontal="right"/>
    </xf>
    <xf numFmtId="1" fontId="2" fillId="2" borderId="0" xfId="0" applyNumberFormat="1" applyFont="1" applyFill="1"/>
    <xf numFmtId="4" fontId="0" fillId="0" borderId="0" xfId="0" applyNumberFormat="1"/>
    <xf numFmtId="167" fontId="1" fillId="2" borderId="1" xfId="5" applyNumberFormat="1" applyFont="1" applyFill="1" applyBorder="1"/>
    <xf numFmtId="0" fontId="9" fillId="2" borderId="0" xfId="0" applyFont="1" applyFill="1"/>
    <xf numFmtId="0" fontId="10" fillId="2" borderId="0" xfId="0" applyFont="1" applyFill="1" applyAlignment="1">
      <alignment horizontal="right"/>
    </xf>
    <xf numFmtId="0" fontId="9" fillId="0" borderId="0" xfId="0" applyFont="1"/>
    <xf numFmtId="0" fontId="9" fillId="2" borderId="0" xfId="0" applyFont="1" applyFill="1" applyAlignment="1">
      <alignment horizontal="right"/>
    </xf>
    <xf numFmtId="4" fontId="9" fillId="3" borderId="1" xfId="1" applyNumberFormat="1" applyFont="1" applyFill="1" applyBorder="1"/>
    <xf numFmtId="0" fontId="0" fillId="0" borderId="1" xfId="0" applyBorder="1" applyAlignment="1">
      <alignment horizontal="right"/>
    </xf>
    <xf numFmtId="14" fontId="11" fillId="0" borderId="1" xfId="0" applyNumberFormat="1" applyFont="1" applyBorder="1"/>
    <xf numFmtId="172" fontId="0" fillId="0" borderId="1" xfId="0" applyNumberFormat="1" applyBorder="1"/>
    <xf numFmtId="0" fontId="9" fillId="2" borderId="1" xfId="0" applyFont="1" applyFill="1" applyBorder="1" applyAlignment="1">
      <alignment horizontal="right"/>
    </xf>
    <xf numFmtId="4" fontId="12" fillId="2" borderId="1" xfId="0" applyNumberFormat="1" applyFont="1" applyFill="1" applyBorder="1" applyAlignment="1">
      <alignment horizontal="center" wrapText="1"/>
    </xf>
    <xf numFmtId="0" fontId="8" fillId="0" borderId="0" xfId="0" applyFont="1"/>
    <xf numFmtId="10" fontId="9" fillId="3" borderId="1" xfId="0" applyNumberFormat="1" applyFont="1" applyFill="1" applyBorder="1"/>
    <xf numFmtId="4" fontId="9" fillId="2" borderId="1" xfId="0" applyNumberFormat="1" applyFont="1" applyFill="1" applyBorder="1"/>
    <xf numFmtId="167" fontId="9" fillId="2" borderId="5" xfId="0" applyNumberFormat="1" applyFont="1" applyFill="1" applyBorder="1"/>
    <xf numFmtId="172" fontId="2" fillId="0" borderId="1" xfId="5" applyNumberFormat="1" applyBorder="1"/>
    <xf numFmtId="14" fontId="9" fillId="0" borderId="0" xfId="0" applyNumberFormat="1" applyFont="1"/>
    <xf numFmtId="167" fontId="9" fillId="0" borderId="0" xfId="0" applyNumberFormat="1" applyFont="1"/>
    <xf numFmtId="4" fontId="8" fillId="2" borderId="1" xfId="0" applyNumberFormat="1" applyFont="1" applyFill="1" applyBorder="1"/>
    <xf numFmtId="0" fontId="12" fillId="2" borderId="0" xfId="0" applyFont="1" applyFill="1" applyAlignment="1">
      <alignment horizontal="right"/>
    </xf>
    <xf numFmtId="167" fontId="12" fillId="2" borderId="0" xfId="0" applyNumberFormat="1" applyFont="1" applyFill="1" applyAlignment="1">
      <alignment horizontal="left"/>
    </xf>
    <xf numFmtId="0" fontId="8" fillId="2" borderId="0" xfId="0" applyFont="1" applyFill="1" applyAlignment="1">
      <alignment horizontal="right"/>
    </xf>
    <xf numFmtId="167" fontId="8" fillId="2" borderId="0" xfId="0" applyNumberFormat="1" applyFont="1" applyFill="1"/>
    <xf numFmtId="0" fontId="1" fillId="2" borderId="0" xfId="0" applyFont="1" applyFill="1" applyAlignment="1">
      <alignment horizontal="left"/>
    </xf>
    <xf numFmtId="14" fontId="2" fillId="3" borderId="1" xfId="0" applyNumberFormat="1" applyFont="1" applyFill="1" applyBorder="1" applyAlignment="1">
      <alignment horizontal="left"/>
    </xf>
    <xf numFmtId="0" fontId="0" fillId="0" borderId="0" xfId="0" applyBorder="1"/>
    <xf numFmtId="172" fontId="2" fillId="0" borderId="0" xfId="5" applyNumberFormat="1" applyBorder="1"/>
    <xf numFmtId="167" fontId="2" fillId="2" borderId="0" xfId="5" applyNumberFormat="1" applyFill="1"/>
    <xf numFmtId="0" fontId="1" fillId="2" borderId="0" xfId="7" applyFont="1" applyFill="1"/>
    <xf numFmtId="0" fontId="2" fillId="2" borderId="0" xfId="7" applyFill="1"/>
    <xf numFmtId="0" fontId="2" fillId="0" borderId="0" xfId="7"/>
    <xf numFmtId="0" fontId="2" fillId="2" borderId="2" xfId="7" applyFont="1" applyFill="1" applyBorder="1"/>
    <xf numFmtId="0" fontId="2" fillId="2" borderId="12" xfId="7" applyFill="1" applyBorder="1"/>
    <xf numFmtId="0" fontId="2" fillId="3" borderId="1" xfId="7" applyFont="1" applyFill="1" applyBorder="1" applyAlignment="1">
      <alignment horizontal="right"/>
    </xf>
    <xf numFmtId="0" fontId="2" fillId="2" borderId="14" xfId="7" applyFont="1" applyFill="1" applyBorder="1"/>
    <xf numFmtId="0" fontId="2" fillId="2" borderId="15" xfId="7" applyFill="1" applyBorder="1"/>
    <xf numFmtId="176" fontId="2" fillId="3" borderId="1" xfId="7" applyNumberFormat="1" applyFont="1" applyFill="1" applyBorder="1"/>
    <xf numFmtId="14" fontId="2" fillId="2" borderId="1" xfId="7" applyNumberFormat="1" applyFill="1" applyBorder="1"/>
    <xf numFmtId="0" fontId="2" fillId="2" borderId="2" xfId="7" applyFont="1" applyFill="1" applyBorder="1" applyAlignment="1">
      <alignment horizontal="right"/>
    </xf>
    <xf numFmtId="4" fontId="2" fillId="3" borderId="12" xfId="7" applyNumberFormat="1" applyFill="1" applyBorder="1"/>
    <xf numFmtId="2" fontId="2" fillId="3" borderId="1" xfId="7" applyNumberFormat="1" applyFill="1" applyBorder="1"/>
    <xf numFmtId="167" fontId="2" fillId="3" borderId="12" xfId="7" applyNumberFormat="1" applyFill="1" applyBorder="1"/>
    <xf numFmtId="2" fontId="2" fillId="3" borderId="12" xfId="7" applyNumberFormat="1" applyFill="1" applyBorder="1"/>
    <xf numFmtId="167" fontId="2" fillId="3" borderId="1" xfId="7" applyNumberFormat="1" applyFill="1" applyBorder="1"/>
    <xf numFmtId="14" fontId="2" fillId="3" borderId="1" xfId="7" applyNumberFormat="1" applyFill="1" applyBorder="1"/>
    <xf numFmtId="10" fontId="2" fillId="2" borderId="0" xfId="5" applyNumberFormat="1" applyFill="1"/>
    <xf numFmtId="0" fontId="2" fillId="3" borderId="1" xfId="7" applyFill="1" applyBorder="1"/>
    <xf numFmtId="4" fontId="2" fillId="2" borderId="0" xfId="7" applyNumberFormat="1" applyFont="1" applyFill="1" applyBorder="1" applyAlignment="1">
      <alignment horizontal="right"/>
    </xf>
    <xf numFmtId="4" fontId="2" fillId="2" borderId="0" xfId="7" applyNumberFormat="1" applyFill="1"/>
    <xf numFmtId="14" fontId="2" fillId="3" borderId="1" xfId="7" applyNumberFormat="1" applyFont="1" applyFill="1" applyBorder="1"/>
    <xf numFmtId="0" fontId="2" fillId="2" borderId="0" xfId="7" applyFont="1" applyFill="1" applyAlignment="1">
      <alignment horizontal="right"/>
    </xf>
    <xf numFmtId="0" fontId="2" fillId="2" borderId="0" xfId="7" applyFont="1" applyFill="1"/>
    <xf numFmtId="0" fontId="2" fillId="2" borderId="0" xfId="7" applyFont="1" applyFill="1" applyAlignment="1">
      <alignment horizontal="center"/>
    </xf>
    <xf numFmtId="2" fontId="2" fillId="2" borderId="7" xfId="7" applyNumberFormat="1" applyFill="1" applyBorder="1"/>
    <xf numFmtId="4" fontId="2" fillId="2" borderId="0" xfId="7" applyNumberFormat="1" applyFill="1" applyBorder="1"/>
    <xf numFmtId="0" fontId="2" fillId="2" borderId="2" xfId="7" applyFont="1" applyFill="1" applyBorder="1" applyAlignment="1">
      <alignment horizontal="left"/>
    </xf>
    <xf numFmtId="10" fontId="2" fillId="3" borderId="1" xfId="5" applyNumberFormat="1" applyFill="1" applyBorder="1"/>
    <xf numFmtId="0" fontId="2" fillId="2" borderId="0" xfId="7" applyFont="1" applyFill="1" applyBorder="1" applyAlignment="1">
      <alignment horizontal="left"/>
    </xf>
    <xf numFmtId="171" fontId="2" fillId="2" borderId="0" xfId="7" applyNumberFormat="1" applyFont="1" applyFill="1" applyBorder="1" applyAlignment="1">
      <alignment horizontal="right"/>
    </xf>
    <xf numFmtId="0" fontId="2" fillId="2" borderId="0" xfId="7" applyFill="1" applyBorder="1"/>
    <xf numFmtId="0" fontId="2" fillId="2" borderId="1" xfId="7" applyFont="1" applyFill="1" applyBorder="1" applyAlignment="1">
      <alignment horizontal="right"/>
    </xf>
    <xf numFmtId="0" fontId="2" fillId="2" borderId="3" xfId="7" applyFont="1" applyFill="1" applyBorder="1" applyAlignment="1">
      <alignment horizontal="right" wrapText="1"/>
    </xf>
    <xf numFmtId="0" fontId="2" fillId="2" borderId="1" xfId="7" applyFont="1" applyFill="1" applyBorder="1" applyAlignment="1">
      <alignment horizontal="right" wrapText="1"/>
    </xf>
    <xf numFmtId="0" fontId="2" fillId="2" borderId="2" xfId="7" applyFill="1" applyBorder="1"/>
    <xf numFmtId="4" fontId="2" fillId="2" borderId="12" xfId="7" applyNumberFormat="1" applyFill="1" applyBorder="1"/>
    <xf numFmtId="0" fontId="2" fillId="2" borderId="0" xfId="7" applyFont="1" applyFill="1" applyBorder="1"/>
    <xf numFmtId="0" fontId="2" fillId="2" borderId="1" xfId="7" applyFill="1" applyBorder="1"/>
    <xf numFmtId="14" fontId="2" fillId="2" borderId="12" xfId="7" applyNumberFormat="1" applyFill="1" applyBorder="1"/>
    <xf numFmtId="0" fontId="2" fillId="2" borderId="12" xfId="7" applyNumberFormat="1" applyFill="1" applyBorder="1"/>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5" xfId="0" applyFont="1" applyFill="1" applyBorder="1" applyAlignment="1">
      <alignment horizontal="center"/>
    </xf>
    <xf numFmtId="0" fontId="4" fillId="2" borderId="0" xfId="8" applyFill="1"/>
    <xf numFmtId="0" fontId="4" fillId="0" borderId="0" xfId="8"/>
    <xf numFmtId="177" fontId="0" fillId="3" borderId="1" xfId="0" applyNumberFormat="1" applyFill="1" applyBorder="1"/>
    <xf numFmtId="167" fontId="15" fillId="2" borderId="5" xfId="0" applyNumberFormat="1" applyFont="1" applyFill="1" applyBorder="1"/>
    <xf numFmtId="0" fontId="16" fillId="2" borderId="0" xfId="7" applyFont="1" applyFill="1"/>
    <xf numFmtId="0" fontId="2" fillId="2" borderId="6" xfId="7" applyFont="1" applyFill="1" applyBorder="1"/>
    <xf numFmtId="10" fontId="2" fillId="2" borderId="13" xfId="5" applyNumberFormat="1" applyFill="1" applyBorder="1"/>
    <xf numFmtId="0" fontId="2" fillId="2" borderId="4" xfId="7" applyFill="1" applyBorder="1"/>
    <xf numFmtId="10" fontId="2" fillId="2" borderId="0" xfId="5" applyNumberFormat="1" applyFill="1" applyBorder="1"/>
    <xf numFmtId="0" fontId="2" fillId="2" borderId="8" xfId="7" applyFont="1" applyFill="1" applyBorder="1"/>
    <xf numFmtId="10" fontId="2" fillId="2" borderId="7" xfId="5" applyNumberFormat="1" applyFill="1" applyBorder="1"/>
    <xf numFmtId="0" fontId="2" fillId="2" borderId="9" xfId="7" applyFill="1" applyBorder="1"/>
    <xf numFmtId="4" fontId="2" fillId="2" borderId="1" xfId="7" applyNumberFormat="1" applyFill="1" applyBorder="1"/>
    <xf numFmtId="167" fontId="1" fillId="2" borderId="0" xfId="5" applyNumberFormat="1" applyFont="1" applyFill="1" applyBorder="1"/>
    <xf numFmtId="0" fontId="0" fillId="0" borderId="0" xfId="0" applyNumberFormat="1" applyAlignment="1">
      <alignment horizontal="right"/>
    </xf>
    <xf numFmtId="0" fontId="2" fillId="0" borderId="0" xfId="0" applyFont="1"/>
    <xf numFmtId="4" fontId="0" fillId="3" borderId="1" xfId="0" applyNumberFormat="1" applyFill="1" applyBorder="1" applyAlignment="1">
      <alignment wrapText="1"/>
    </xf>
    <xf numFmtId="0" fontId="7" fillId="2" borderId="0" xfId="0" applyFont="1" applyFill="1" applyBorder="1"/>
    <xf numFmtId="14" fontId="0" fillId="3" borderId="10" xfId="0" applyNumberFormat="1" applyFill="1" applyBorder="1"/>
    <xf numFmtId="0" fontId="0" fillId="0" borderId="5" xfId="0" applyBorder="1"/>
    <xf numFmtId="0" fontId="2" fillId="2" borderId="0" xfId="0" applyFont="1" applyFill="1"/>
    <xf numFmtId="14" fontId="0" fillId="0" borderId="5" xfId="0" applyNumberFormat="1" applyBorder="1"/>
    <xf numFmtId="0" fontId="0" fillId="2" borderId="15" xfId="0" applyFill="1" applyBorder="1" applyAlignment="1">
      <alignment horizontal="right"/>
    </xf>
    <xf numFmtId="4" fontId="0" fillId="2" borderId="14" xfId="0" applyNumberFormat="1" applyFill="1" applyBorder="1"/>
    <xf numFmtId="4" fontId="0" fillId="2" borderId="15" xfId="0" applyNumberFormat="1" applyFill="1" applyBorder="1"/>
    <xf numFmtId="4" fontId="0" fillId="2" borderId="8" xfId="0" applyNumberFormat="1" applyFill="1" applyBorder="1"/>
    <xf numFmtId="4" fontId="0" fillId="2" borderId="9" xfId="0" applyNumberFormat="1" applyFill="1" applyBorder="1"/>
    <xf numFmtId="14" fontId="0" fillId="2" borderId="1" xfId="0" applyNumberFormat="1" applyFill="1" applyBorder="1"/>
    <xf numFmtId="0" fontId="0" fillId="3" borderId="3" xfId="0" applyNumberFormat="1" applyFill="1" applyBorder="1"/>
    <xf numFmtId="9" fontId="0" fillId="2" borderId="1" xfId="0" applyNumberFormat="1" applyFill="1" applyBorder="1"/>
    <xf numFmtId="0" fontId="0" fillId="2" borderId="10" xfId="0" applyFill="1" applyBorder="1" applyAlignment="1">
      <alignment horizontal="center"/>
    </xf>
    <xf numFmtId="9" fontId="0" fillId="3" borderId="5" xfId="0" applyNumberFormat="1" applyFill="1" applyBorder="1" applyAlignment="1">
      <alignment horizontal="center"/>
    </xf>
    <xf numFmtId="0" fontId="0" fillId="3" borderId="3" xfId="0" applyFill="1" applyBorder="1"/>
    <xf numFmtId="167" fontId="0" fillId="2" borderId="0" xfId="0" applyNumberFormat="1" applyFill="1" applyBorder="1" applyAlignment="1">
      <alignment horizontal="center"/>
    </xf>
    <xf numFmtId="168" fontId="0" fillId="2" borderId="0" xfId="0" applyNumberFormat="1" applyFill="1" applyBorder="1" applyAlignment="1"/>
    <xf numFmtId="167" fontId="0" fillId="2" borderId="15" xfId="5" applyNumberFormat="1" applyFont="1" applyFill="1" applyBorder="1"/>
    <xf numFmtId="2" fontId="0" fillId="2" borderId="9" xfId="0" applyNumberFormat="1" applyFill="1" applyBorder="1"/>
    <xf numFmtId="0" fontId="2" fillId="2" borderId="0" xfId="7" applyFont="1" applyFill="1" applyBorder="1" applyAlignment="1">
      <alignment horizontal="right" wrapText="1"/>
    </xf>
    <xf numFmtId="3" fontId="0" fillId="2" borderId="0" xfId="0" applyNumberFormat="1" applyFill="1" applyBorder="1"/>
    <xf numFmtId="0" fontId="2" fillId="2" borderId="1" xfId="0" applyFont="1" applyFill="1" applyBorder="1"/>
    <xf numFmtId="0" fontId="4" fillId="2" borderId="2" xfId="6" applyFill="1" applyBorder="1"/>
    <xf numFmtId="0" fontId="4" fillId="2" borderId="12" xfId="6" applyFill="1" applyBorder="1" applyAlignment="1">
      <alignment horizontal="right"/>
    </xf>
    <xf numFmtId="0" fontId="4" fillId="3" borderId="11" xfId="6" applyFill="1" applyBorder="1"/>
    <xf numFmtId="9" fontId="4" fillId="3" borderId="11" xfId="6" applyNumberFormat="1" applyFill="1" applyBorder="1"/>
    <xf numFmtId="0" fontId="4" fillId="2" borderId="1" xfId="6" applyFont="1" applyFill="1" applyBorder="1"/>
    <xf numFmtId="0" fontId="7" fillId="2" borderId="0" xfId="0" applyFont="1" applyFill="1"/>
    <xf numFmtId="178" fontId="0" fillId="3" borderId="1" xfId="0" applyNumberFormat="1" applyFill="1" applyBorder="1"/>
    <xf numFmtId="179" fontId="0" fillId="3" borderId="0" xfId="0" applyNumberFormat="1" applyFill="1" applyAlignment="1">
      <alignment horizontal="right"/>
    </xf>
    <xf numFmtId="14" fontId="0" fillId="3" borderId="1" xfId="0" applyNumberFormat="1" applyFill="1" applyBorder="1" applyAlignment="1">
      <alignment horizontal="center"/>
    </xf>
    <xf numFmtId="0" fontId="1" fillId="2" borderId="0" xfId="0" applyFont="1" applyFill="1" applyBorder="1" applyAlignment="1">
      <alignment horizontal="center"/>
    </xf>
    <xf numFmtId="180" fontId="0" fillId="3" borderId="0" xfId="0" applyNumberFormat="1" applyFill="1"/>
    <xf numFmtId="167" fontId="9" fillId="2" borderId="5" xfId="0" applyNumberFormat="1" applyFont="1" applyFill="1" applyBorder="1" applyAlignment="1">
      <alignment horizontal="right"/>
    </xf>
    <xf numFmtId="167" fontId="1" fillId="2" borderId="1" xfId="0" applyNumberFormat="1" applyFont="1" applyFill="1" applyBorder="1" applyAlignment="1">
      <alignment horizontal="center"/>
    </xf>
    <xf numFmtId="14" fontId="4" fillId="2" borderId="1" xfId="8" applyNumberFormat="1" applyFill="1" applyBorder="1" applyAlignment="1">
      <alignment horizontal="center"/>
    </xf>
    <xf numFmtId="0" fontId="4" fillId="2" borderId="1" xfId="8" applyFill="1" applyBorder="1" applyAlignment="1">
      <alignment horizontal="center" wrapText="1"/>
    </xf>
    <xf numFmtId="0" fontId="4" fillId="2" borderId="1" xfId="8" applyFill="1" applyBorder="1" applyAlignment="1">
      <alignment horizontal="center"/>
    </xf>
    <xf numFmtId="179" fontId="4" fillId="3" borderId="1" xfId="8" applyNumberFormat="1" applyFill="1" applyBorder="1" applyAlignment="1">
      <alignment horizontal="center"/>
    </xf>
    <xf numFmtId="2" fontId="4" fillId="3" borderId="1" xfId="8" applyNumberFormat="1" applyFill="1" applyBorder="1" applyAlignment="1">
      <alignment horizontal="center"/>
    </xf>
    <xf numFmtId="2" fontId="4" fillId="2" borderId="1" xfId="8" applyNumberFormat="1" applyFill="1" applyBorder="1" applyAlignment="1">
      <alignment horizontal="center"/>
    </xf>
    <xf numFmtId="167" fontId="4" fillId="2" borderId="1" xfId="8" applyNumberFormat="1" applyFill="1" applyBorder="1" applyAlignment="1">
      <alignment horizontal="center"/>
    </xf>
    <xf numFmtId="14" fontId="4" fillId="2" borderId="0" xfId="8" applyNumberFormat="1" applyFill="1" applyAlignment="1">
      <alignment horizontal="center"/>
    </xf>
    <xf numFmtId="0" fontId="4" fillId="2" borderId="0" xfId="8" applyFill="1" applyAlignment="1">
      <alignment horizontal="center"/>
    </xf>
    <xf numFmtId="4" fontId="4" fillId="2" borderId="0" xfId="8" applyNumberFormat="1" applyFill="1" applyAlignment="1">
      <alignment horizontal="center"/>
    </xf>
    <xf numFmtId="167" fontId="4" fillId="2" borderId="0" xfId="5" applyNumberFormat="1" applyFont="1" applyFill="1" applyAlignment="1">
      <alignment horizontal="center"/>
    </xf>
    <xf numFmtId="170" fontId="4" fillId="2" borderId="0" xfId="2" applyNumberFormat="1" applyFill="1" applyAlignment="1">
      <alignment horizontal="center"/>
    </xf>
    <xf numFmtId="14" fontId="4" fillId="0" borderId="0" xfId="8" applyNumberFormat="1" applyAlignment="1">
      <alignment horizontal="center"/>
    </xf>
    <xf numFmtId="0" fontId="4" fillId="0" borderId="0" xfId="8" applyAlignment="1">
      <alignment horizontal="center"/>
    </xf>
    <xf numFmtId="0" fontId="15" fillId="2" borderId="0" xfId="0" applyFont="1" applyFill="1"/>
    <xf numFmtId="0" fontId="12" fillId="2" borderId="0" xfId="0" applyFont="1" applyFill="1"/>
    <xf numFmtId="173" fontId="0" fillId="3" borderId="1" xfId="0" applyNumberFormat="1" applyFill="1" applyBorder="1"/>
    <xf numFmtId="10" fontId="0" fillId="0" borderId="0" xfId="0" applyNumberFormat="1" applyFill="1"/>
    <xf numFmtId="0" fontId="2" fillId="0" borderId="0" xfId="9"/>
    <xf numFmtId="0" fontId="1" fillId="2" borderId="1" xfId="0" applyFont="1" applyFill="1" applyBorder="1" applyAlignment="1">
      <alignment horizontal="right"/>
    </xf>
    <xf numFmtId="0" fontId="4" fillId="0" borderId="0" xfId="10"/>
    <xf numFmtId="0" fontId="4" fillId="4" borderId="0" xfId="10" applyFill="1"/>
    <xf numFmtId="1" fontId="4" fillId="0" borderId="0" xfId="10" applyNumberFormat="1"/>
    <xf numFmtId="10" fontId="4" fillId="0" borderId="0" xfId="10" applyNumberFormat="1" applyFill="1"/>
    <xf numFmtId="173" fontId="4" fillId="0" borderId="0" xfId="10" applyNumberFormat="1" applyFill="1"/>
    <xf numFmtId="0" fontId="4" fillId="5" borderId="0" xfId="10" applyFill="1"/>
    <xf numFmtId="10" fontId="4" fillId="5" borderId="0" xfId="10" applyNumberFormat="1" applyFill="1"/>
    <xf numFmtId="1" fontId="4" fillId="5" borderId="0" xfId="10" applyNumberFormat="1" applyFill="1"/>
    <xf numFmtId="0" fontId="3" fillId="5" borderId="0" xfId="10" applyFont="1" applyFill="1"/>
    <xf numFmtId="4" fontId="4" fillId="0" borderId="0" xfId="10" applyNumberFormat="1" applyFill="1"/>
    <xf numFmtId="0" fontId="4" fillId="5" borderId="0" xfId="10" applyFill="1" applyAlignment="1">
      <alignment horizontal="right"/>
    </xf>
    <xf numFmtId="10" fontId="0" fillId="6" borderId="0" xfId="0" applyNumberFormat="1" applyFill="1"/>
    <xf numFmtId="4" fontId="0" fillId="6" borderId="1" xfId="0" applyNumberFormat="1" applyFill="1" applyBorder="1"/>
    <xf numFmtId="167" fontId="0" fillId="6" borderId="1" xfId="0" applyNumberFormat="1" applyFill="1" applyBorder="1"/>
    <xf numFmtId="166" fontId="0" fillId="6" borderId="1" xfId="0" applyNumberFormat="1" applyFill="1" applyBorder="1"/>
    <xf numFmtId="0" fontId="0" fillId="2" borderId="1" xfId="0" applyFill="1" applyBorder="1" applyAlignment="1">
      <alignment wrapText="1"/>
    </xf>
    <xf numFmtId="9" fontId="0" fillId="0" borderId="0" xfId="0" applyNumberFormat="1"/>
    <xf numFmtId="0" fontId="1" fillId="2" borderId="2" xfId="0" applyFont="1"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6" fillId="5" borderId="0" xfId="9" applyFont="1" applyFill="1" applyBorder="1" applyAlignment="1">
      <alignment horizontal="center"/>
    </xf>
    <xf numFmtId="0" fontId="16" fillId="5" borderId="0" xfId="9" applyFont="1" applyFill="1" applyAlignment="1">
      <alignment horizontal="center"/>
    </xf>
    <xf numFmtId="0" fontId="2" fillId="5" borderId="0" xfId="9" applyFill="1"/>
    <xf numFmtId="0" fontId="2" fillId="5" borderId="3" xfId="9" applyFill="1" applyBorder="1"/>
    <xf numFmtId="0" fontId="20" fillId="5" borderId="10" xfId="9" applyFont="1" applyFill="1" applyBorder="1" applyAlignment="1">
      <alignment horizontal="center"/>
    </xf>
    <xf numFmtId="0" fontId="2" fillId="5" borderId="5" xfId="9" applyFill="1" applyBorder="1"/>
    <xf numFmtId="0" fontId="1" fillId="5" borderId="0" xfId="9" applyFont="1" applyFill="1" applyBorder="1" applyAlignment="1">
      <alignment horizontal="left"/>
    </xf>
    <xf numFmtId="0" fontId="1" fillId="5" borderId="0" xfId="9" applyFont="1" applyFill="1"/>
    <xf numFmtId="0" fontId="0" fillId="5" borderId="0" xfId="9" applyFont="1" applyFill="1"/>
  </cellXfs>
  <cellStyles count="12">
    <cellStyle name="Dezimal_Beisp. B.5.2" xfId="2"/>
    <cellStyle name="Euro" xfId="3"/>
    <cellStyle name="Komma" xfId="1" builtinId="3"/>
    <cellStyle name="normal" xfId="4"/>
    <cellStyle name="Prozent" xfId="5" builtinId="5"/>
    <cellStyle name="Standard" xfId="0" builtinId="0"/>
    <cellStyle name="Standard 2" xfId="10"/>
    <cellStyle name="Standard 3" xfId="9"/>
    <cellStyle name="Standard_Aufg. 2.7.2" xfId="6"/>
    <cellStyle name="Standard_Beisp. 8.6.5" xfId="7"/>
    <cellStyle name="Standard_Beisp. B.5.2" xfId="8"/>
    <cellStyle name="swpHead01" xfId="11"/>
  </cellStyles>
  <dxfs count="3">
    <dxf>
      <font>
        <condense val="0"/>
        <extend val="0"/>
        <color indexed="42"/>
      </font>
    </dxf>
    <dxf>
      <font>
        <condense val="0"/>
        <extend val="0"/>
        <color indexed="42"/>
      </font>
    </dxf>
    <dxf>
      <font>
        <condense val="0"/>
        <extend val="0"/>
        <color indexed="4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7475704816968"/>
          <c:y val="0.10373465000698993"/>
          <c:w val="0.78205324031760892"/>
          <c:h val="0.72614255004892958"/>
        </c:manualLayout>
      </c:layout>
      <c:scatterChart>
        <c:scatterStyle val="smoothMarker"/>
        <c:varyColors val="0"/>
        <c:ser>
          <c:idx val="1"/>
          <c:order val="0"/>
          <c:spPr>
            <a:ln w="12700">
              <a:solidFill>
                <a:srgbClr val="000000"/>
              </a:solidFill>
              <a:prstDash val="solid"/>
            </a:ln>
          </c:spPr>
          <c:marker>
            <c:symbol val="none"/>
          </c:marker>
          <c:xVal>
            <c:numRef>
              <c:f>'Beisp. 2.1.5'!$A$2:$A$67</c:f>
              <c:numCache>
                <c:formatCode>dd/mm/</c:formatCode>
                <c:ptCount val="66"/>
                <c:pt idx="0">
                  <c:v>34577</c:v>
                </c:pt>
                <c:pt idx="1">
                  <c:v>34578</c:v>
                </c:pt>
                <c:pt idx="2">
                  <c:v>34579</c:v>
                </c:pt>
                <c:pt idx="3">
                  <c:v>34582</c:v>
                </c:pt>
                <c:pt idx="4">
                  <c:v>34583</c:v>
                </c:pt>
                <c:pt idx="5">
                  <c:v>34584</c:v>
                </c:pt>
                <c:pt idx="6">
                  <c:v>34585</c:v>
                </c:pt>
                <c:pt idx="7">
                  <c:v>34586</c:v>
                </c:pt>
                <c:pt idx="8">
                  <c:v>34589</c:v>
                </c:pt>
                <c:pt idx="9">
                  <c:v>34590</c:v>
                </c:pt>
                <c:pt idx="10">
                  <c:v>34591</c:v>
                </c:pt>
                <c:pt idx="11">
                  <c:v>34592</c:v>
                </c:pt>
                <c:pt idx="12">
                  <c:v>34593</c:v>
                </c:pt>
                <c:pt idx="13">
                  <c:v>34596</c:v>
                </c:pt>
                <c:pt idx="14">
                  <c:v>34597</c:v>
                </c:pt>
                <c:pt idx="15">
                  <c:v>34598</c:v>
                </c:pt>
                <c:pt idx="16">
                  <c:v>34599</c:v>
                </c:pt>
                <c:pt idx="17">
                  <c:v>34600</c:v>
                </c:pt>
                <c:pt idx="18">
                  <c:v>34603</c:v>
                </c:pt>
                <c:pt idx="19">
                  <c:v>34604</c:v>
                </c:pt>
                <c:pt idx="20">
                  <c:v>34605</c:v>
                </c:pt>
                <c:pt idx="21">
                  <c:v>34606</c:v>
                </c:pt>
                <c:pt idx="22">
                  <c:v>34607</c:v>
                </c:pt>
                <c:pt idx="23">
                  <c:v>34610</c:v>
                </c:pt>
                <c:pt idx="24">
                  <c:v>34611</c:v>
                </c:pt>
                <c:pt idx="25">
                  <c:v>34612</c:v>
                </c:pt>
                <c:pt idx="26">
                  <c:v>34613</c:v>
                </c:pt>
                <c:pt idx="27">
                  <c:v>34614</c:v>
                </c:pt>
                <c:pt idx="28">
                  <c:v>34617</c:v>
                </c:pt>
                <c:pt idx="29">
                  <c:v>34618</c:v>
                </c:pt>
                <c:pt idx="30">
                  <c:v>34619</c:v>
                </c:pt>
                <c:pt idx="31">
                  <c:v>34620</c:v>
                </c:pt>
                <c:pt idx="32">
                  <c:v>34621</c:v>
                </c:pt>
                <c:pt idx="33">
                  <c:v>34624</c:v>
                </c:pt>
                <c:pt idx="34">
                  <c:v>34625</c:v>
                </c:pt>
                <c:pt idx="35">
                  <c:v>34626</c:v>
                </c:pt>
                <c:pt idx="36">
                  <c:v>34627</c:v>
                </c:pt>
                <c:pt idx="37">
                  <c:v>34628</c:v>
                </c:pt>
                <c:pt idx="38">
                  <c:v>34631</c:v>
                </c:pt>
                <c:pt idx="39">
                  <c:v>34632</c:v>
                </c:pt>
                <c:pt idx="40">
                  <c:v>34633</c:v>
                </c:pt>
                <c:pt idx="41">
                  <c:v>34634</c:v>
                </c:pt>
                <c:pt idx="42">
                  <c:v>34635</c:v>
                </c:pt>
                <c:pt idx="43">
                  <c:v>34638</c:v>
                </c:pt>
                <c:pt idx="44">
                  <c:v>34639</c:v>
                </c:pt>
                <c:pt idx="45">
                  <c:v>34640</c:v>
                </c:pt>
                <c:pt idx="46">
                  <c:v>34641</c:v>
                </c:pt>
                <c:pt idx="47">
                  <c:v>34642</c:v>
                </c:pt>
                <c:pt idx="48">
                  <c:v>34645</c:v>
                </c:pt>
                <c:pt idx="49">
                  <c:v>34646</c:v>
                </c:pt>
                <c:pt idx="50">
                  <c:v>34647</c:v>
                </c:pt>
                <c:pt idx="51">
                  <c:v>34648</c:v>
                </c:pt>
                <c:pt idx="52">
                  <c:v>34649</c:v>
                </c:pt>
                <c:pt idx="53">
                  <c:v>34652</c:v>
                </c:pt>
                <c:pt idx="54">
                  <c:v>34653</c:v>
                </c:pt>
                <c:pt idx="55">
                  <c:v>34654</c:v>
                </c:pt>
                <c:pt idx="56">
                  <c:v>34655</c:v>
                </c:pt>
                <c:pt idx="57">
                  <c:v>34656</c:v>
                </c:pt>
                <c:pt idx="58">
                  <c:v>34659</c:v>
                </c:pt>
                <c:pt idx="59">
                  <c:v>34660</c:v>
                </c:pt>
                <c:pt idx="60">
                  <c:v>34661</c:v>
                </c:pt>
                <c:pt idx="61">
                  <c:v>34662</c:v>
                </c:pt>
                <c:pt idx="62">
                  <c:v>34663</c:v>
                </c:pt>
                <c:pt idx="63">
                  <c:v>34666</c:v>
                </c:pt>
                <c:pt idx="64">
                  <c:v>34667</c:v>
                </c:pt>
                <c:pt idx="65">
                  <c:v>34668</c:v>
                </c:pt>
              </c:numCache>
            </c:numRef>
          </c:xVal>
          <c:yVal>
            <c:numRef>
              <c:f>'Beisp. 2.1.5'!$C$2:$C$67</c:f>
              <c:numCache>
                <c:formatCode>0.00</c:formatCode>
                <c:ptCount val="66"/>
                <c:pt idx="0">
                  <c:v>497</c:v>
                </c:pt>
                <c:pt idx="1">
                  <c:v>490.5</c:v>
                </c:pt>
                <c:pt idx="2">
                  <c:v>494</c:v>
                </c:pt>
                <c:pt idx="3">
                  <c:v>488</c:v>
                </c:pt>
                <c:pt idx="4">
                  <c:v>491</c:v>
                </c:pt>
                <c:pt idx="5">
                  <c:v>482.5</c:v>
                </c:pt>
                <c:pt idx="6">
                  <c:v>487</c:v>
                </c:pt>
                <c:pt idx="7">
                  <c:v>491.3</c:v>
                </c:pt>
                <c:pt idx="8">
                  <c:v>481.5</c:v>
                </c:pt>
                <c:pt idx="9">
                  <c:v>477.5</c:v>
                </c:pt>
                <c:pt idx="10">
                  <c:v>476.5</c:v>
                </c:pt>
                <c:pt idx="11">
                  <c:v>469.5</c:v>
                </c:pt>
                <c:pt idx="12">
                  <c:v>469</c:v>
                </c:pt>
                <c:pt idx="13">
                  <c:v>460.5</c:v>
                </c:pt>
                <c:pt idx="14">
                  <c:v>451</c:v>
                </c:pt>
                <c:pt idx="15">
                  <c:v>448.5</c:v>
                </c:pt>
                <c:pt idx="16">
                  <c:v>456.5</c:v>
                </c:pt>
                <c:pt idx="17">
                  <c:v>458.5</c:v>
                </c:pt>
                <c:pt idx="18">
                  <c:v>457</c:v>
                </c:pt>
                <c:pt idx="19">
                  <c:v>456.5</c:v>
                </c:pt>
                <c:pt idx="20">
                  <c:v>454</c:v>
                </c:pt>
                <c:pt idx="21">
                  <c:v>442.5</c:v>
                </c:pt>
                <c:pt idx="22">
                  <c:v>425.5</c:v>
                </c:pt>
                <c:pt idx="23">
                  <c:v>425.5</c:v>
                </c:pt>
                <c:pt idx="24">
                  <c:v>425.5</c:v>
                </c:pt>
                <c:pt idx="25">
                  <c:v>424</c:v>
                </c:pt>
                <c:pt idx="26">
                  <c:v>433</c:v>
                </c:pt>
                <c:pt idx="27">
                  <c:v>437.8</c:v>
                </c:pt>
                <c:pt idx="28">
                  <c:v>451.5</c:v>
                </c:pt>
                <c:pt idx="29">
                  <c:v>464</c:v>
                </c:pt>
                <c:pt idx="30">
                  <c:v>469</c:v>
                </c:pt>
                <c:pt idx="31">
                  <c:v>467</c:v>
                </c:pt>
                <c:pt idx="32">
                  <c:v>468</c:v>
                </c:pt>
                <c:pt idx="33">
                  <c:v>470.4</c:v>
                </c:pt>
                <c:pt idx="34">
                  <c:v>452.4</c:v>
                </c:pt>
                <c:pt idx="35">
                  <c:v>444.5</c:v>
                </c:pt>
                <c:pt idx="36">
                  <c:v>438.5</c:v>
                </c:pt>
                <c:pt idx="37">
                  <c:v>433.5</c:v>
                </c:pt>
                <c:pt idx="38">
                  <c:v>437.3</c:v>
                </c:pt>
                <c:pt idx="39">
                  <c:v>427</c:v>
                </c:pt>
                <c:pt idx="40">
                  <c:v>433</c:v>
                </c:pt>
                <c:pt idx="41">
                  <c:v>432</c:v>
                </c:pt>
                <c:pt idx="42">
                  <c:v>435.8</c:v>
                </c:pt>
                <c:pt idx="43">
                  <c:v>445</c:v>
                </c:pt>
                <c:pt idx="44">
                  <c:v>442.5</c:v>
                </c:pt>
                <c:pt idx="45">
                  <c:v>440.3</c:v>
                </c:pt>
                <c:pt idx="46">
                  <c:v>437.2</c:v>
                </c:pt>
                <c:pt idx="47">
                  <c:v>447.3</c:v>
                </c:pt>
                <c:pt idx="48">
                  <c:v>440</c:v>
                </c:pt>
                <c:pt idx="49">
                  <c:v>438.5</c:v>
                </c:pt>
                <c:pt idx="50">
                  <c:v>445.5</c:v>
                </c:pt>
                <c:pt idx="51">
                  <c:v>447</c:v>
                </c:pt>
                <c:pt idx="52">
                  <c:v>452.5</c:v>
                </c:pt>
                <c:pt idx="53">
                  <c:v>455.5</c:v>
                </c:pt>
                <c:pt idx="54">
                  <c:v>456.7</c:v>
                </c:pt>
                <c:pt idx="55">
                  <c:v>456.7</c:v>
                </c:pt>
                <c:pt idx="56">
                  <c:v>454.2</c:v>
                </c:pt>
                <c:pt idx="57">
                  <c:v>460</c:v>
                </c:pt>
                <c:pt idx="58">
                  <c:v>468.7</c:v>
                </c:pt>
                <c:pt idx="59">
                  <c:v>460</c:v>
                </c:pt>
                <c:pt idx="60">
                  <c:v>453.5</c:v>
                </c:pt>
                <c:pt idx="61">
                  <c:v>454.2</c:v>
                </c:pt>
                <c:pt idx="62">
                  <c:v>458.5</c:v>
                </c:pt>
                <c:pt idx="63">
                  <c:v>443.5</c:v>
                </c:pt>
                <c:pt idx="64">
                  <c:v>428.6</c:v>
                </c:pt>
                <c:pt idx="65">
                  <c:v>427</c:v>
                </c:pt>
              </c:numCache>
            </c:numRef>
          </c:yVal>
          <c:smooth val="1"/>
        </c:ser>
        <c:ser>
          <c:idx val="2"/>
          <c:order val="1"/>
          <c:spPr>
            <a:ln w="12700">
              <a:solidFill>
                <a:srgbClr val="000000"/>
              </a:solidFill>
              <a:prstDash val="sysDash"/>
            </a:ln>
          </c:spPr>
          <c:marker>
            <c:symbol val="none"/>
          </c:marker>
          <c:xVal>
            <c:numRef>
              <c:f>'Beisp. 2.1.5'!$A$2:$A$67</c:f>
              <c:numCache>
                <c:formatCode>dd/mm/</c:formatCode>
                <c:ptCount val="66"/>
                <c:pt idx="0">
                  <c:v>34577</c:v>
                </c:pt>
                <c:pt idx="1">
                  <c:v>34578</c:v>
                </c:pt>
                <c:pt idx="2">
                  <c:v>34579</c:v>
                </c:pt>
                <c:pt idx="3">
                  <c:v>34582</c:v>
                </c:pt>
                <c:pt idx="4">
                  <c:v>34583</c:v>
                </c:pt>
                <c:pt idx="5">
                  <c:v>34584</c:v>
                </c:pt>
                <c:pt idx="6">
                  <c:v>34585</c:v>
                </c:pt>
                <c:pt idx="7">
                  <c:v>34586</c:v>
                </c:pt>
                <c:pt idx="8">
                  <c:v>34589</c:v>
                </c:pt>
                <c:pt idx="9">
                  <c:v>34590</c:v>
                </c:pt>
                <c:pt idx="10">
                  <c:v>34591</c:v>
                </c:pt>
                <c:pt idx="11">
                  <c:v>34592</c:v>
                </c:pt>
                <c:pt idx="12">
                  <c:v>34593</c:v>
                </c:pt>
                <c:pt idx="13">
                  <c:v>34596</c:v>
                </c:pt>
                <c:pt idx="14">
                  <c:v>34597</c:v>
                </c:pt>
                <c:pt idx="15">
                  <c:v>34598</c:v>
                </c:pt>
                <c:pt idx="16">
                  <c:v>34599</c:v>
                </c:pt>
                <c:pt idx="17">
                  <c:v>34600</c:v>
                </c:pt>
                <c:pt idx="18">
                  <c:v>34603</c:v>
                </c:pt>
                <c:pt idx="19">
                  <c:v>34604</c:v>
                </c:pt>
                <c:pt idx="20">
                  <c:v>34605</c:v>
                </c:pt>
                <c:pt idx="21">
                  <c:v>34606</c:v>
                </c:pt>
                <c:pt idx="22">
                  <c:v>34607</c:v>
                </c:pt>
                <c:pt idx="23">
                  <c:v>34610</c:v>
                </c:pt>
                <c:pt idx="24">
                  <c:v>34611</c:v>
                </c:pt>
                <c:pt idx="25">
                  <c:v>34612</c:v>
                </c:pt>
                <c:pt idx="26">
                  <c:v>34613</c:v>
                </c:pt>
                <c:pt idx="27">
                  <c:v>34614</c:v>
                </c:pt>
                <c:pt idx="28">
                  <c:v>34617</c:v>
                </c:pt>
                <c:pt idx="29">
                  <c:v>34618</c:v>
                </c:pt>
                <c:pt idx="30">
                  <c:v>34619</c:v>
                </c:pt>
                <c:pt idx="31">
                  <c:v>34620</c:v>
                </c:pt>
                <c:pt idx="32">
                  <c:v>34621</c:v>
                </c:pt>
                <c:pt idx="33">
                  <c:v>34624</c:v>
                </c:pt>
                <c:pt idx="34">
                  <c:v>34625</c:v>
                </c:pt>
                <c:pt idx="35">
                  <c:v>34626</c:v>
                </c:pt>
                <c:pt idx="36">
                  <c:v>34627</c:v>
                </c:pt>
                <c:pt idx="37">
                  <c:v>34628</c:v>
                </c:pt>
                <c:pt idx="38">
                  <c:v>34631</c:v>
                </c:pt>
                <c:pt idx="39">
                  <c:v>34632</c:v>
                </c:pt>
                <c:pt idx="40">
                  <c:v>34633</c:v>
                </c:pt>
                <c:pt idx="41">
                  <c:v>34634</c:v>
                </c:pt>
                <c:pt idx="42">
                  <c:v>34635</c:v>
                </c:pt>
                <c:pt idx="43">
                  <c:v>34638</c:v>
                </c:pt>
                <c:pt idx="44">
                  <c:v>34639</c:v>
                </c:pt>
                <c:pt idx="45">
                  <c:v>34640</c:v>
                </c:pt>
                <c:pt idx="46">
                  <c:v>34641</c:v>
                </c:pt>
                <c:pt idx="47">
                  <c:v>34642</c:v>
                </c:pt>
                <c:pt idx="48">
                  <c:v>34645</c:v>
                </c:pt>
                <c:pt idx="49">
                  <c:v>34646</c:v>
                </c:pt>
                <c:pt idx="50">
                  <c:v>34647</c:v>
                </c:pt>
                <c:pt idx="51">
                  <c:v>34648</c:v>
                </c:pt>
                <c:pt idx="52">
                  <c:v>34649</c:v>
                </c:pt>
                <c:pt idx="53">
                  <c:v>34652</c:v>
                </c:pt>
                <c:pt idx="54">
                  <c:v>34653</c:v>
                </c:pt>
                <c:pt idx="55">
                  <c:v>34654</c:v>
                </c:pt>
                <c:pt idx="56">
                  <c:v>34655</c:v>
                </c:pt>
                <c:pt idx="57">
                  <c:v>34656</c:v>
                </c:pt>
                <c:pt idx="58">
                  <c:v>34659</c:v>
                </c:pt>
                <c:pt idx="59">
                  <c:v>34660</c:v>
                </c:pt>
                <c:pt idx="60">
                  <c:v>34661</c:v>
                </c:pt>
                <c:pt idx="61">
                  <c:v>34662</c:v>
                </c:pt>
                <c:pt idx="62">
                  <c:v>34663</c:v>
                </c:pt>
                <c:pt idx="63">
                  <c:v>34666</c:v>
                </c:pt>
                <c:pt idx="64">
                  <c:v>34667</c:v>
                </c:pt>
                <c:pt idx="65">
                  <c:v>34668</c:v>
                </c:pt>
              </c:numCache>
            </c:numRef>
          </c:xVal>
          <c:yVal>
            <c:numRef>
              <c:f>'Beisp. 2.1.5'!$D$2:$D$67</c:f>
              <c:numCache>
                <c:formatCode>0.00</c:formatCode>
                <c:ptCount val="66"/>
                <c:pt idx="9">
                  <c:v>488.03000000000003</c:v>
                </c:pt>
                <c:pt idx="10">
                  <c:v>485.98</c:v>
                </c:pt>
                <c:pt idx="11">
                  <c:v>483.88</c:v>
                </c:pt>
                <c:pt idx="12">
                  <c:v>481.38</c:v>
                </c:pt>
                <c:pt idx="13">
                  <c:v>478.63</c:v>
                </c:pt>
                <c:pt idx="14">
                  <c:v>474.63</c:v>
                </c:pt>
                <c:pt idx="15">
                  <c:v>471.23</c:v>
                </c:pt>
                <c:pt idx="16">
                  <c:v>468.18</c:v>
                </c:pt>
                <c:pt idx="17">
                  <c:v>464.9</c:v>
                </c:pt>
                <c:pt idx="18">
                  <c:v>462.45</c:v>
                </c:pt>
                <c:pt idx="19">
                  <c:v>460.35</c:v>
                </c:pt>
                <c:pt idx="20">
                  <c:v>458.1</c:v>
                </c:pt>
                <c:pt idx="21">
                  <c:v>455.4</c:v>
                </c:pt>
                <c:pt idx="22">
                  <c:v>451.05</c:v>
                </c:pt>
                <c:pt idx="23">
                  <c:v>447.55</c:v>
                </c:pt>
                <c:pt idx="24">
                  <c:v>445</c:v>
                </c:pt>
                <c:pt idx="25">
                  <c:v>442.55</c:v>
                </c:pt>
                <c:pt idx="26">
                  <c:v>440.2</c:v>
                </c:pt>
                <c:pt idx="27">
                  <c:v>438.13</c:v>
                </c:pt>
                <c:pt idx="28">
                  <c:v>437.58000000000004</c:v>
                </c:pt>
                <c:pt idx="29">
                  <c:v>438.33000000000004</c:v>
                </c:pt>
                <c:pt idx="30">
                  <c:v>439.83000000000004</c:v>
                </c:pt>
                <c:pt idx="31">
                  <c:v>442.28000000000003</c:v>
                </c:pt>
                <c:pt idx="32">
                  <c:v>446.53000000000003</c:v>
                </c:pt>
                <c:pt idx="33">
                  <c:v>451.02</c:v>
                </c:pt>
                <c:pt idx="34">
                  <c:v>453.71000000000004</c:v>
                </c:pt>
                <c:pt idx="35">
                  <c:v>455.76000000000005</c:v>
                </c:pt>
                <c:pt idx="36">
                  <c:v>456.31000000000006</c:v>
                </c:pt>
                <c:pt idx="37">
                  <c:v>455.88</c:v>
                </c:pt>
                <c:pt idx="38">
                  <c:v>454.46000000000004</c:v>
                </c:pt>
                <c:pt idx="39">
                  <c:v>450.76000000000005</c:v>
                </c:pt>
                <c:pt idx="40">
                  <c:v>447.16</c:v>
                </c:pt>
                <c:pt idx="41">
                  <c:v>443.66</c:v>
                </c:pt>
                <c:pt idx="42">
                  <c:v>440.44000000000005</c:v>
                </c:pt>
                <c:pt idx="43">
                  <c:v>437.9</c:v>
                </c:pt>
                <c:pt idx="44">
                  <c:v>436.91</c:v>
                </c:pt>
                <c:pt idx="45">
                  <c:v>436.49000000000007</c:v>
                </c:pt>
                <c:pt idx="46">
                  <c:v>436.36</c:v>
                </c:pt>
                <c:pt idx="47">
                  <c:v>437.73999999999995</c:v>
                </c:pt>
                <c:pt idx="48">
                  <c:v>438.01000000000005</c:v>
                </c:pt>
                <c:pt idx="49">
                  <c:v>439.16</c:v>
                </c:pt>
                <c:pt idx="50">
                  <c:v>440.41</c:v>
                </c:pt>
                <c:pt idx="51">
                  <c:v>441.91</c:v>
                </c:pt>
                <c:pt idx="52">
                  <c:v>443.58000000000004</c:v>
                </c:pt>
                <c:pt idx="53">
                  <c:v>444.63</c:v>
                </c:pt>
                <c:pt idx="54">
                  <c:v>446.05</c:v>
                </c:pt>
                <c:pt idx="55">
                  <c:v>447.68999999999994</c:v>
                </c:pt>
                <c:pt idx="56">
                  <c:v>449.39</c:v>
                </c:pt>
                <c:pt idx="57">
                  <c:v>450.65999999999997</c:v>
                </c:pt>
                <c:pt idx="58">
                  <c:v>453.52999999999992</c:v>
                </c:pt>
                <c:pt idx="59">
                  <c:v>455.67999999999995</c:v>
                </c:pt>
                <c:pt idx="60">
                  <c:v>456.4799999999999</c:v>
                </c:pt>
                <c:pt idx="61">
                  <c:v>457.19999999999993</c:v>
                </c:pt>
                <c:pt idx="62">
                  <c:v>457.8</c:v>
                </c:pt>
                <c:pt idx="63">
                  <c:v>456.6</c:v>
                </c:pt>
                <c:pt idx="64">
                  <c:v>453.79000000000008</c:v>
                </c:pt>
                <c:pt idx="65">
                  <c:v>450.82</c:v>
                </c:pt>
              </c:numCache>
            </c:numRef>
          </c:yVal>
          <c:smooth val="1"/>
        </c:ser>
        <c:dLbls>
          <c:showLegendKey val="0"/>
          <c:showVal val="0"/>
          <c:showCatName val="0"/>
          <c:showSerName val="0"/>
          <c:showPercent val="0"/>
          <c:showBubbleSize val="0"/>
        </c:dLbls>
        <c:axId val="217461248"/>
        <c:axId val="217461824"/>
      </c:scatterChart>
      <c:valAx>
        <c:axId val="217461248"/>
        <c:scaling>
          <c:orientation val="minMax"/>
          <c:min val="34577"/>
        </c:scaling>
        <c:delete val="0"/>
        <c:axPos val="b"/>
        <c:numFmt formatCode="dd/mm"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17461824"/>
        <c:crosses val="autoZero"/>
        <c:crossBetween val="midCat"/>
      </c:valAx>
      <c:valAx>
        <c:axId val="217461824"/>
        <c:scaling>
          <c:orientation val="minMax"/>
        </c:scaling>
        <c:delete val="0"/>
        <c:axPos val="l"/>
        <c:numFmt formatCode="0.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1746124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984251969" l="0.78740157499999996" r="0.78740157499999996" t="0.984251969" header="0.51181102300000003" footer="0.511811023000000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de-DE"/>
              <a:t>Endkapital </a:t>
            </a:r>
          </a:p>
        </c:rich>
      </c:tx>
      <c:layout>
        <c:manualLayout>
          <c:xMode val="edge"/>
          <c:yMode val="edge"/>
          <c:x val="0.33858267716535434"/>
          <c:y val="8.6274840206955444E-2"/>
        </c:manualLayout>
      </c:layout>
      <c:overlay val="0"/>
      <c:spPr>
        <a:noFill/>
        <a:ln w="25400">
          <a:noFill/>
        </a:ln>
      </c:spPr>
    </c:title>
    <c:autoTitleDeleted val="0"/>
    <c:plotArea>
      <c:layout>
        <c:manualLayout>
          <c:layoutTarget val="inner"/>
          <c:xMode val="edge"/>
          <c:yMode val="edge"/>
          <c:x val="5.5118110236220472E-2"/>
          <c:y val="7.0588505623872644E-2"/>
          <c:w val="0.89370078740157477"/>
          <c:h val="0.80784623102876463"/>
        </c:manualLayout>
      </c:layout>
      <c:scatterChart>
        <c:scatterStyle val="smoothMarker"/>
        <c:varyColors val="0"/>
        <c:ser>
          <c:idx val="0"/>
          <c:order val="0"/>
          <c:tx>
            <c:strRef>
              <c:f>'Abb. 2.8.3'!$B$4</c:f>
              <c:strCache>
                <c:ptCount val="1"/>
                <c:pt idx="0">
                  <c:v>Kt = K0(1+i)t</c:v>
                </c:pt>
              </c:strCache>
            </c:strRef>
          </c:tx>
          <c:spPr>
            <a:ln w="12700">
              <a:solidFill>
                <a:srgbClr val="000080"/>
              </a:solidFill>
              <a:prstDash val="sysDash"/>
            </a:ln>
          </c:spPr>
          <c:marker>
            <c:symbol val="none"/>
          </c:marker>
          <c:xVal>
            <c:numRef>
              <c:f>'Abb. 2.8.3'!$A$5:$A$20</c:f>
              <c:numCache>
                <c:formatCode>General</c:formatCode>
                <c:ptCount val="16"/>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numCache>
            </c:numRef>
          </c:xVal>
          <c:yVal>
            <c:numRef>
              <c:f>'Abb. 2.8.3'!$B$5:$B$20</c:f>
              <c:numCache>
                <c:formatCode>General</c:formatCode>
                <c:ptCount val="16"/>
                <c:pt idx="0">
                  <c:v>200</c:v>
                </c:pt>
                <c:pt idx="1">
                  <c:v>239.24623977026309</c:v>
                </c:pt>
                <c:pt idx="2">
                  <c:v>286.19381622105112</c:v>
                </c:pt>
                <c:pt idx="3">
                  <c:v>342.35397188194099</c:v>
                </c:pt>
                <c:pt idx="4">
                  <c:v>409.53450221584387</c:v>
                </c:pt>
                <c:pt idx="5">
                  <c:v>489.89794855663558</c:v>
                </c:pt>
                <c:pt idx="6">
                  <c:v>586.03121031670423</c:v>
                </c:pt>
                <c:pt idx="7">
                  <c:v>701.02881728143848</c:v>
                </c:pt>
                <c:pt idx="8">
                  <c:v>838.59254252589517</c:v>
                </c:pt>
                <c:pt idx="9">
                  <c:v>1003.1505624935244</c:v>
                </c:pt>
                <c:pt idx="10">
                  <c:v>1200</c:v>
                </c:pt>
                <c:pt idx="11">
                  <c:v>1435.4774386215788</c:v>
                </c:pt>
                <c:pt idx="12">
                  <c:v>1717.1628973263062</c:v>
                </c:pt>
                <c:pt idx="13">
                  <c:v>2054.1238312916462</c:v>
                </c:pt>
                <c:pt idx="14">
                  <c:v>2457.207013295063</c:v>
                </c:pt>
                <c:pt idx="15">
                  <c:v>2939.387691339814</c:v>
                </c:pt>
              </c:numCache>
            </c:numRef>
          </c:yVal>
          <c:smooth val="1"/>
        </c:ser>
        <c:ser>
          <c:idx val="1"/>
          <c:order val="1"/>
          <c:tx>
            <c:strRef>
              <c:f>'Abb. 2.8.3'!$C$4</c:f>
              <c:strCache>
                <c:ptCount val="1"/>
                <c:pt idx="0">
                  <c:v>Kt = K0(1+t i)</c:v>
                </c:pt>
              </c:strCache>
            </c:strRef>
          </c:tx>
          <c:spPr>
            <a:ln w="12700">
              <a:solidFill>
                <a:srgbClr val="000000"/>
              </a:solidFill>
              <a:prstDash val="solid"/>
            </a:ln>
          </c:spPr>
          <c:marker>
            <c:symbol val="none"/>
          </c:marker>
          <c:xVal>
            <c:numRef>
              <c:f>'Abb. 2.8.3'!$A$5:$A$20</c:f>
              <c:numCache>
                <c:formatCode>General</c:formatCode>
                <c:ptCount val="16"/>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numCache>
            </c:numRef>
          </c:xVal>
          <c:yVal>
            <c:numRef>
              <c:f>'Abb. 2.8.3'!$C$5:$C$20</c:f>
              <c:numCache>
                <c:formatCode>General</c:formatCode>
                <c:ptCount val="16"/>
                <c:pt idx="0">
                  <c:v>200</c:v>
                </c:pt>
                <c:pt idx="1">
                  <c:v>300</c:v>
                </c:pt>
                <c:pt idx="2">
                  <c:v>400</c:v>
                </c:pt>
                <c:pt idx="3">
                  <c:v>500</c:v>
                </c:pt>
                <c:pt idx="4">
                  <c:v>600</c:v>
                </c:pt>
                <c:pt idx="5">
                  <c:v>700</c:v>
                </c:pt>
                <c:pt idx="6">
                  <c:v>800</c:v>
                </c:pt>
                <c:pt idx="7">
                  <c:v>900</c:v>
                </c:pt>
                <c:pt idx="8">
                  <c:v>1000</c:v>
                </c:pt>
                <c:pt idx="9">
                  <c:v>1100</c:v>
                </c:pt>
                <c:pt idx="10">
                  <c:v>1200</c:v>
                </c:pt>
                <c:pt idx="11">
                  <c:v>1300</c:v>
                </c:pt>
                <c:pt idx="12">
                  <c:v>1400</c:v>
                </c:pt>
                <c:pt idx="13">
                  <c:v>1500</c:v>
                </c:pt>
                <c:pt idx="14">
                  <c:v>1600</c:v>
                </c:pt>
                <c:pt idx="15">
                  <c:v>1700</c:v>
                </c:pt>
              </c:numCache>
            </c:numRef>
          </c:yVal>
          <c:smooth val="1"/>
        </c:ser>
        <c:dLbls>
          <c:showLegendKey val="0"/>
          <c:showVal val="0"/>
          <c:showCatName val="0"/>
          <c:showSerName val="0"/>
          <c:showPercent val="0"/>
          <c:showBubbleSize val="0"/>
        </c:dLbls>
        <c:axId val="218787200"/>
        <c:axId val="218787776"/>
      </c:scatterChart>
      <c:valAx>
        <c:axId val="218787200"/>
        <c:scaling>
          <c:orientation val="minMax"/>
          <c:max val="1.5"/>
          <c:min val="0"/>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de-DE"/>
          </a:p>
        </c:txPr>
        <c:crossAx val="218787776"/>
        <c:crosses val="autoZero"/>
        <c:crossBetween val="midCat"/>
        <c:majorUnit val="1"/>
      </c:valAx>
      <c:valAx>
        <c:axId val="218787776"/>
        <c:scaling>
          <c:orientation val="minMax"/>
          <c:max val="3000"/>
          <c:min val="0"/>
        </c:scaling>
        <c:delete val="0"/>
        <c:axPos val="l"/>
        <c:numFmt formatCode="General" sourceLinked="1"/>
        <c:majorTickMark val="none"/>
        <c:minorTickMark val="none"/>
        <c:tickLblPos val="none"/>
        <c:spPr>
          <a:ln w="3175">
            <a:solidFill>
              <a:srgbClr val="000000"/>
            </a:solidFill>
            <a:prstDash val="solid"/>
          </a:ln>
        </c:spPr>
        <c:crossAx val="218787200"/>
        <c:crosses val="autoZero"/>
        <c:crossBetween val="midCat"/>
        <c:majorUnit val="500"/>
        <c:minorUnit val="2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de-DE"/>
    </a:p>
  </c:txPr>
  <c:printSettings>
    <c:headerFooter alignWithMargins="0">
      <c:oddHeader>&amp;B</c:oddHeader>
      <c:oddFooter>Seite &amp;S</c:oddFooter>
    </c:headerFooter>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Differenz zwischen exponentieller und linearer Verzinsung</a:t>
            </a:r>
          </a:p>
        </c:rich>
      </c:tx>
      <c:layout>
        <c:manualLayout>
          <c:xMode val="edge"/>
          <c:yMode val="edge"/>
          <c:x val="0.15046330309448941"/>
          <c:y val="3.5335750013371685E-2"/>
        </c:manualLayout>
      </c:layout>
      <c:overlay val="0"/>
      <c:spPr>
        <a:noFill/>
        <a:ln w="25400">
          <a:noFill/>
        </a:ln>
      </c:spPr>
    </c:title>
    <c:autoTitleDeleted val="0"/>
    <c:plotArea>
      <c:layout>
        <c:manualLayout>
          <c:layoutTarget val="inner"/>
          <c:xMode val="edge"/>
          <c:yMode val="edge"/>
          <c:x val="0.12962992266602166"/>
          <c:y val="0.26855170010162477"/>
          <c:w val="0.82870557704349557"/>
          <c:h val="0.55477127520993541"/>
        </c:manualLayout>
      </c:layout>
      <c:scatterChart>
        <c:scatterStyle val="lineMarker"/>
        <c:varyColors val="0"/>
        <c:ser>
          <c:idx val="0"/>
          <c:order val="0"/>
          <c:tx>
            <c:strRef>
              <c:f>'Beisp. 2.8.2'!$K$2</c:f>
              <c:strCache>
                <c:ptCount val="1"/>
                <c:pt idx="0">
                  <c:v>Differenz</c:v>
                </c:pt>
              </c:strCache>
            </c:strRef>
          </c:tx>
          <c:spPr>
            <a:ln w="12700">
              <a:solidFill>
                <a:srgbClr val="000080"/>
              </a:solidFill>
              <a:prstDash val="solid"/>
            </a:ln>
          </c:spPr>
          <c:marker>
            <c:symbol val="none"/>
          </c:marker>
          <c:xVal>
            <c:numRef>
              <c:f>'Beisp. 2.8.2'!$J$3:$J$183</c:f>
              <c:numCache>
                <c:formatCode>General</c:formatCode>
                <c:ptCount val="181"/>
                <c:pt idx="0">
                  <c:v>0</c:v>
                </c:pt>
                <c:pt idx="1">
                  <c:v>1.4999999999999999E-2</c:v>
                </c:pt>
                <c:pt idx="2">
                  <c:v>0.03</c:v>
                </c:pt>
                <c:pt idx="3">
                  <c:v>4.4999999999999998E-2</c:v>
                </c:pt>
                <c:pt idx="4">
                  <c:v>0.06</c:v>
                </c:pt>
                <c:pt idx="5">
                  <c:v>7.4999999999999997E-2</c:v>
                </c:pt>
                <c:pt idx="6">
                  <c:v>0.09</c:v>
                </c:pt>
                <c:pt idx="7">
                  <c:v>0.105</c:v>
                </c:pt>
                <c:pt idx="8">
                  <c:v>0.12</c:v>
                </c:pt>
                <c:pt idx="9">
                  <c:v>0.13500000000000001</c:v>
                </c:pt>
                <c:pt idx="10">
                  <c:v>0.15000000000000002</c:v>
                </c:pt>
                <c:pt idx="11">
                  <c:v>0.16500000000000004</c:v>
                </c:pt>
                <c:pt idx="12">
                  <c:v>0.18000000000000005</c:v>
                </c:pt>
                <c:pt idx="13">
                  <c:v>0.19500000000000006</c:v>
                </c:pt>
                <c:pt idx="14">
                  <c:v>0.21000000000000008</c:v>
                </c:pt>
                <c:pt idx="15">
                  <c:v>0.22500000000000009</c:v>
                </c:pt>
                <c:pt idx="16">
                  <c:v>0.2400000000000001</c:v>
                </c:pt>
                <c:pt idx="17">
                  <c:v>0.25500000000000012</c:v>
                </c:pt>
                <c:pt idx="18">
                  <c:v>0.27000000000000013</c:v>
                </c:pt>
                <c:pt idx="19">
                  <c:v>0.28500000000000014</c:v>
                </c:pt>
                <c:pt idx="20">
                  <c:v>0.30000000000000016</c:v>
                </c:pt>
                <c:pt idx="21">
                  <c:v>0.31500000000000017</c:v>
                </c:pt>
                <c:pt idx="22">
                  <c:v>0.33000000000000018</c:v>
                </c:pt>
                <c:pt idx="23">
                  <c:v>0.3450000000000002</c:v>
                </c:pt>
                <c:pt idx="24">
                  <c:v>0.36000000000000021</c:v>
                </c:pt>
                <c:pt idx="25">
                  <c:v>0.37500000000000022</c:v>
                </c:pt>
                <c:pt idx="26">
                  <c:v>0.39000000000000024</c:v>
                </c:pt>
                <c:pt idx="27">
                  <c:v>0.40500000000000025</c:v>
                </c:pt>
                <c:pt idx="28">
                  <c:v>0.42000000000000026</c:v>
                </c:pt>
                <c:pt idx="29">
                  <c:v>0.43500000000000028</c:v>
                </c:pt>
                <c:pt idx="30">
                  <c:v>0.45000000000000029</c:v>
                </c:pt>
                <c:pt idx="31">
                  <c:v>0.4650000000000003</c:v>
                </c:pt>
                <c:pt idx="32">
                  <c:v>0.48000000000000032</c:v>
                </c:pt>
                <c:pt idx="33">
                  <c:v>0.49500000000000033</c:v>
                </c:pt>
                <c:pt idx="34">
                  <c:v>0.51000000000000034</c:v>
                </c:pt>
                <c:pt idx="35">
                  <c:v>0.52500000000000036</c:v>
                </c:pt>
                <c:pt idx="36">
                  <c:v>0.54000000000000037</c:v>
                </c:pt>
                <c:pt idx="37">
                  <c:v>0.55500000000000038</c:v>
                </c:pt>
                <c:pt idx="38">
                  <c:v>0.5700000000000004</c:v>
                </c:pt>
                <c:pt idx="39">
                  <c:v>0.58500000000000041</c:v>
                </c:pt>
                <c:pt idx="40">
                  <c:v>0.60000000000000042</c:v>
                </c:pt>
                <c:pt idx="41">
                  <c:v>0.61500000000000044</c:v>
                </c:pt>
                <c:pt idx="42">
                  <c:v>0.63000000000000045</c:v>
                </c:pt>
                <c:pt idx="43">
                  <c:v>0.64500000000000046</c:v>
                </c:pt>
                <c:pt idx="44">
                  <c:v>0.66000000000000048</c:v>
                </c:pt>
                <c:pt idx="45">
                  <c:v>0.67500000000000049</c:v>
                </c:pt>
                <c:pt idx="46">
                  <c:v>0.6900000000000005</c:v>
                </c:pt>
                <c:pt idx="47">
                  <c:v>0.70500000000000052</c:v>
                </c:pt>
                <c:pt idx="48">
                  <c:v>0.72000000000000053</c:v>
                </c:pt>
                <c:pt idx="49">
                  <c:v>0.73500000000000054</c:v>
                </c:pt>
                <c:pt idx="50">
                  <c:v>0.75000000000000056</c:v>
                </c:pt>
                <c:pt idx="51">
                  <c:v>0.76500000000000057</c:v>
                </c:pt>
                <c:pt idx="52">
                  <c:v>0.78000000000000058</c:v>
                </c:pt>
                <c:pt idx="53">
                  <c:v>0.7950000000000006</c:v>
                </c:pt>
                <c:pt idx="54">
                  <c:v>0.81000000000000061</c:v>
                </c:pt>
                <c:pt idx="55">
                  <c:v>0.82500000000000062</c:v>
                </c:pt>
                <c:pt idx="56">
                  <c:v>0.84000000000000064</c:v>
                </c:pt>
                <c:pt idx="57">
                  <c:v>0.85500000000000065</c:v>
                </c:pt>
                <c:pt idx="58">
                  <c:v>0.87000000000000066</c:v>
                </c:pt>
                <c:pt idx="59">
                  <c:v>0.88500000000000068</c:v>
                </c:pt>
                <c:pt idx="60">
                  <c:v>0.90000000000000069</c:v>
                </c:pt>
                <c:pt idx="61">
                  <c:v>0.9150000000000007</c:v>
                </c:pt>
                <c:pt idx="62">
                  <c:v>0.93000000000000071</c:v>
                </c:pt>
                <c:pt idx="63">
                  <c:v>0.94500000000000073</c:v>
                </c:pt>
                <c:pt idx="64">
                  <c:v>0.96000000000000074</c:v>
                </c:pt>
                <c:pt idx="65">
                  <c:v>0.97500000000000075</c:v>
                </c:pt>
                <c:pt idx="66">
                  <c:v>0.99000000000000077</c:v>
                </c:pt>
                <c:pt idx="67">
                  <c:v>1.0050000000000008</c:v>
                </c:pt>
                <c:pt idx="68">
                  <c:v>1.0200000000000007</c:v>
                </c:pt>
                <c:pt idx="69">
                  <c:v>1.0350000000000006</c:v>
                </c:pt>
                <c:pt idx="70">
                  <c:v>1.0500000000000005</c:v>
                </c:pt>
                <c:pt idx="71">
                  <c:v>1.0650000000000004</c:v>
                </c:pt>
                <c:pt idx="72">
                  <c:v>1.0800000000000003</c:v>
                </c:pt>
                <c:pt idx="73">
                  <c:v>1.0950000000000002</c:v>
                </c:pt>
                <c:pt idx="74">
                  <c:v>1.1100000000000001</c:v>
                </c:pt>
                <c:pt idx="75">
                  <c:v>1.125</c:v>
                </c:pt>
                <c:pt idx="76">
                  <c:v>1.1399999999999999</c:v>
                </c:pt>
                <c:pt idx="77">
                  <c:v>1.1549999999999998</c:v>
                </c:pt>
                <c:pt idx="78">
                  <c:v>1.1699999999999997</c:v>
                </c:pt>
                <c:pt idx="79">
                  <c:v>1.1849999999999996</c:v>
                </c:pt>
                <c:pt idx="80">
                  <c:v>1.1999999999999995</c:v>
                </c:pt>
                <c:pt idx="81">
                  <c:v>1.2149999999999994</c:v>
                </c:pt>
                <c:pt idx="82">
                  <c:v>1.2299999999999993</c:v>
                </c:pt>
                <c:pt idx="83">
                  <c:v>1.2449999999999992</c:v>
                </c:pt>
                <c:pt idx="84">
                  <c:v>1.2599999999999991</c:v>
                </c:pt>
                <c:pt idx="85">
                  <c:v>1.274999999999999</c:v>
                </c:pt>
                <c:pt idx="86">
                  <c:v>1.2899999999999989</c:v>
                </c:pt>
                <c:pt idx="87">
                  <c:v>1.3049999999999988</c:v>
                </c:pt>
                <c:pt idx="88">
                  <c:v>1.3199999999999987</c:v>
                </c:pt>
                <c:pt idx="89">
                  <c:v>1.3349999999999986</c:v>
                </c:pt>
                <c:pt idx="90">
                  <c:v>1.3499999999999985</c:v>
                </c:pt>
                <c:pt idx="91">
                  <c:v>1.3649999999999984</c:v>
                </c:pt>
                <c:pt idx="92">
                  <c:v>1.3799999999999983</c:v>
                </c:pt>
                <c:pt idx="93">
                  <c:v>1.3949999999999982</c:v>
                </c:pt>
                <c:pt idx="94">
                  <c:v>1.4099999999999981</c:v>
                </c:pt>
                <c:pt idx="95">
                  <c:v>1.424999999999998</c:v>
                </c:pt>
                <c:pt idx="96">
                  <c:v>1.4399999999999979</c:v>
                </c:pt>
                <c:pt idx="97">
                  <c:v>1.4549999999999979</c:v>
                </c:pt>
                <c:pt idx="98">
                  <c:v>1.4699999999999978</c:v>
                </c:pt>
                <c:pt idx="99">
                  <c:v>1.4849999999999977</c:v>
                </c:pt>
                <c:pt idx="100">
                  <c:v>1.4999999999999976</c:v>
                </c:pt>
                <c:pt idx="101">
                  <c:v>1.5149999999999975</c:v>
                </c:pt>
                <c:pt idx="102">
                  <c:v>1.5299999999999974</c:v>
                </c:pt>
                <c:pt idx="103">
                  <c:v>1.5449999999999973</c:v>
                </c:pt>
                <c:pt idx="104">
                  <c:v>1.5599999999999972</c:v>
                </c:pt>
                <c:pt idx="105">
                  <c:v>1.5749999999999971</c:v>
                </c:pt>
                <c:pt idx="106">
                  <c:v>1.589999999999997</c:v>
                </c:pt>
                <c:pt idx="107">
                  <c:v>1.6049999999999969</c:v>
                </c:pt>
                <c:pt idx="108">
                  <c:v>1.6199999999999968</c:v>
                </c:pt>
                <c:pt idx="109">
                  <c:v>1.6349999999999967</c:v>
                </c:pt>
                <c:pt idx="110">
                  <c:v>1.6499999999999966</c:v>
                </c:pt>
                <c:pt idx="111">
                  <c:v>1.6649999999999965</c:v>
                </c:pt>
                <c:pt idx="112">
                  <c:v>1.6799999999999964</c:v>
                </c:pt>
                <c:pt idx="113">
                  <c:v>1.6949999999999963</c:v>
                </c:pt>
                <c:pt idx="114">
                  <c:v>1.7099999999999962</c:v>
                </c:pt>
                <c:pt idx="115">
                  <c:v>1.7249999999999961</c:v>
                </c:pt>
                <c:pt idx="116">
                  <c:v>1.739999999999996</c:v>
                </c:pt>
                <c:pt idx="117">
                  <c:v>1.7549999999999959</c:v>
                </c:pt>
                <c:pt idx="118">
                  <c:v>1.7699999999999958</c:v>
                </c:pt>
                <c:pt idx="119">
                  <c:v>1.7849999999999957</c:v>
                </c:pt>
                <c:pt idx="120">
                  <c:v>1.7999999999999956</c:v>
                </c:pt>
                <c:pt idx="121">
                  <c:v>1.8149999999999955</c:v>
                </c:pt>
                <c:pt idx="122">
                  <c:v>1.8299999999999954</c:v>
                </c:pt>
                <c:pt idx="123">
                  <c:v>1.8449999999999953</c:v>
                </c:pt>
                <c:pt idx="124">
                  <c:v>1.8599999999999952</c:v>
                </c:pt>
                <c:pt idx="125">
                  <c:v>1.8749999999999951</c:v>
                </c:pt>
                <c:pt idx="126">
                  <c:v>1.889999999999995</c:v>
                </c:pt>
                <c:pt idx="127">
                  <c:v>1.9049999999999949</c:v>
                </c:pt>
                <c:pt idx="128">
                  <c:v>1.9199999999999948</c:v>
                </c:pt>
                <c:pt idx="129">
                  <c:v>1.9349999999999947</c:v>
                </c:pt>
                <c:pt idx="130">
                  <c:v>1.9499999999999946</c:v>
                </c:pt>
                <c:pt idx="131">
                  <c:v>1.9649999999999945</c:v>
                </c:pt>
                <c:pt idx="132">
                  <c:v>1.9799999999999944</c:v>
                </c:pt>
                <c:pt idx="133">
                  <c:v>1.9949999999999943</c:v>
                </c:pt>
                <c:pt idx="134">
                  <c:v>2.0099999999999945</c:v>
                </c:pt>
                <c:pt idx="135">
                  <c:v>2.0249999999999946</c:v>
                </c:pt>
                <c:pt idx="136">
                  <c:v>2.0399999999999947</c:v>
                </c:pt>
                <c:pt idx="137">
                  <c:v>2.0549999999999948</c:v>
                </c:pt>
                <c:pt idx="138">
                  <c:v>2.069999999999995</c:v>
                </c:pt>
                <c:pt idx="139">
                  <c:v>2.0849999999999951</c:v>
                </c:pt>
                <c:pt idx="140">
                  <c:v>2.0999999999999952</c:v>
                </c:pt>
                <c:pt idx="141">
                  <c:v>2.1149999999999953</c:v>
                </c:pt>
                <c:pt idx="142">
                  <c:v>2.1299999999999955</c:v>
                </c:pt>
                <c:pt idx="143">
                  <c:v>2.1449999999999956</c:v>
                </c:pt>
                <c:pt idx="144">
                  <c:v>2.1599999999999957</c:v>
                </c:pt>
                <c:pt idx="145">
                  <c:v>2.1749999999999958</c:v>
                </c:pt>
                <c:pt idx="146">
                  <c:v>2.1899999999999959</c:v>
                </c:pt>
                <c:pt idx="147">
                  <c:v>2.2049999999999961</c:v>
                </c:pt>
                <c:pt idx="148">
                  <c:v>2.2199999999999962</c:v>
                </c:pt>
                <c:pt idx="149">
                  <c:v>2.2349999999999963</c:v>
                </c:pt>
                <c:pt idx="150">
                  <c:v>2.2499999999999964</c:v>
                </c:pt>
                <c:pt idx="151">
                  <c:v>2.2649999999999966</c:v>
                </c:pt>
                <c:pt idx="152">
                  <c:v>2.2799999999999967</c:v>
                </c:pt>
                <c:pt idx="153">
                  <c:v>2.2949999999999968</c:v>
                </c:pt>
                <c:pt idx="154">
                  <c:v>2.3099999999999969</c:v>
                </c:pt>
                <c:pt idx="155">
                  <c:v>2.3249999999999971</c:v>
                </c:pt>
                <c:pt idx="156">
                  <c:v>2.3399999999999972</c:v>
                </c:pt>
                <c:pt idx="157">
                  <c:v>2.3549999999999973</c:v>
                </c:pt>
                <c:pt idx="158">
                  <c:v>2.3699999999999974</c:v>
                </c:pt>
                <c:pt idx="159">
                  <c:v>2.3849999999999976</c:v>
                </c:pt>
                <c:pt idx="160">
                  <c:v>2.3999999999999977</c:v>
                </c:pt>
                <c:pt idx="161">
                  <c:v>2.4149999999999978</c:v>
                </c:pt>
                <c:pt idx="162">
                  <c:v>2.4299999999999979</c:v>
                </c:pt>
                <c:pt idx="163">
                  <c:v>2.4449999999999981</c:v>
                </c:pt>
                <c:pt idx="164">
                  <c:v>2.4599999999999982</c:v>
                </c:pt>
                <c:pt idx="165">
                  <c:v>2.4749999999999983</c:v>
                </c:pt>
                <c:pt idx="166">
                  <c:v>2.4899999999999984</c:v>
                </c:pt>
                <c:pt idx="167">
                  <c:v>2.5049999999999986</c:v>
                </c:pt>
                <c:pt idx="168">
                  <c:v>2.5199999999999987</c:v>
                </c:pt>
                <c:pt idx="169">
                  <c:v>2.5349999999999988</c:v>
                </c:pt>
                <c:pt idx="170">
                  <c:v>2.5499999999999989</c:v>
                </c:pt>
                <c:pt idx="171">
                  <c:v>2.5649999999999991</c:v>
                </c:pt>
                <c:pt idx="172">
                  <c:v>2.5799999999999992</c:v>
                </c:pt>
                <c:pt idx="173">
                  <c:v>2.5949999999999993</c:v>
                </c:pt>
                <c:pt idx="174">
                  <c:v>2.6099999999999994</c:v>
                </c:pt>
                <c:pt idx="175">
                  <c:v>2.6249999999999996</c:v>
                </c:pt>
                <c:pt idx="176">
                  <c:v>2.6399999999999997</c:v>
                </c:pt>
                <c:pt idx="177">
                  <c:v>2.6549999999999998</c:v>
                </c:pt>
                <c:pt idx="178">
                  <c:v>2.67</c:v>
                </c:pt>
                <c:pt idx="179">
                  <c:v>2.6850000000000001</c:v>
                </c:pt>
                <c:pt idx="180">
                  <c:v>2.7</c:v>
                </c:pt>
              </c:numCache>
            </c:numRef>
          </c:xVal>
          <c:yVal>
            <c:numRef>
              <c:f>'Beisp. 2.8.2'!$K$3:$K$183</c:f>
              <c:numCache>
                <c:formatCode>0.00</c:formatCode>
                <c:ptCount val="181"/>
                <c:pt idx="0">
                  <c:v>0</c:v>
                </c:pt>
                <c:pt idx="1">
                  <c:v>-0.34605108200524981</c:v>
                </c:pt>
                <c:pt idx="2">
                  <c:v>-0.68179189614880897</c:v>
                </c:pt>
                <c:pt idx="3">
                  <c:v>-1.0072119734338969</c:v>
                </c:pt>
                <c:pt idx="4">
                  <c:v>-1.3223008342411191</c:v>
                </c:pt>
                <c:pt idx="5">
                  <c:v>-1.6270479883018218</c:v>
                </c:pt>
                <c:pt idx="6">
                  <c:v>-1.9214429347047535</c:v>
                </c:pt>
                <c:pt idx="7">
                  <c:v>-2.2054751618671986</c:v>
                </c:pt>
                <c:pt idx="8">
                  <c:v>-2.4791341475394191</c:v>
                </c:pt>
                <c:pt idx="9">
                  <c:v>-2.7424093587824494</c:v>
                </c:pt>
                <c:pt idx="10">
                  <c:v>-2.9952902519658764</c:v>
                </c:pt>
                <c:pt idx="11">
                  <c:v>-3.2377662727545165</c:v>
                </c:pt>
                <c:pt idx="12">
                  <c:v>-3.469826856090652</c:v>
                </c:pt>
                <c:pt idx="13">
                  <c:v>-3.6914614261940315</c:v>
                </c:pt>
                <c:pt idx="14">
                  <c:v>-3.9026593965441059</c:v>
                </c:pt>
                <c:pt idx="15">
                  <c:v>-4.1034101698711467</c:v>
                </c:pt>
                <c:pt idx="16">
                  <c:v>-4.2937031381429236</c:v>
                </c:pt>
                <c:pt idx="17">
                  <c:v>-4.4735276825602632</c:v>
                </c:pt>
                <c:pt idx="18">
                  <c:v>-4.6428731735370654</c:v>
                </c:pt>
                <c:pt idx="19">
                  <c:v>-4.8017289706958621</c:v>
                </c:pt>
                <c:pt idx="20">
                  <c:v>-4.9500844228544949</c:v>
                </c:pt>
                <c:pt idx="21">
                  <c:v>-5.0879288680216739</c:v>
                </c:pt>
                <c:pt idx="22">
                  <c:v>-5.215251633368112</c:v>
                </c:pt>
                <c:pt idx="23">
                  <c:v>-5.332042035235407</c:v>
                </c:pt>
                <c:pt idx="24">
                  <c:v>-5.4382893791160569</c:v>
                </c:pt>
                <c:pt idx="25">
                  <c:v>-5.5339829596445789</c:v>
                </c:pt>
                <c:pt idx="26">
                  <c:v>-5.6191120605797451</c:v>
                </c:pt>
                <c:pt idx="27">
                  <c:v>-5.6936659548068036</c:v>
                </c:pt>
                <c:pt idx="28">
                  <c:v>-5.7576339043130531</c:v>
                </c:pt>
                <c:pt idx="29">
                  <c:v>-5.8110051601856227</c:v>
                </c:pt>
                <c:pt idx="30">
                  <c:v>-5.8537689625937084</c:v>
                </c:pt>
                <c:pt idx="31">
                  <c:v>-5.8859145407841318</c:v>
                </c:pt>
                <c:pt idx="32">
                  <c:v>-5.9074311130680179</c:v>
                </c:pt>
                <c:pt idx="33">
                  <c:v>-5.9183078868030314</c:v>
                </c:pt>
                <c:pt idx="34">
                  <c:v>-5.9185340583978174</c:v>
                </c:pt>
                <c:pt idx="35">
                  <c:v>-5.9080988132786949</c:v>
                </c:pt>
                <c:pt idx="36">
                  <c:v>-5.8869913259029794</c:v>
                </c:pt>
                <c:pt idx="37">
                  <c:v>-5.855200759730117</c:v>
                </c:pt>
                <c:pt idx="38">
                  <c:v>-5.812716267212803</c:v>
                </c:pt>
                <c:pt idx="39">
                  <c:v>-5.759526989794761</c:v>
                </c:pt>
                <c:pt idx="40">
                  <c:v>-5.6956220578929795</c:v>
                </c:pt>
                <c:pt idx="41">
                  <c:v>-5.6209905908866098</c:v>
                </c:pt>
                <c:pt idx="42">
                  <c:v>-5.5356216971036432</c:v>
                </c:pt>
                <c:pt idx="43">
                  <c:v>-5.4395044738209108</c:v>
                </c:pt>
                <c:pt idx="44">
                  <c:v>-5.3326280072352183</c:v>
                </c:pt>
                <c:pt idx="45">
                  <c:v>-5.2149813724677863</c:v>
                </c:pt>
                <c:pt idx="46">
                  <c:v>-5.0865536335442663</c:v>
                </c:pt>
                <c:pt idx="47">
                  <c:v>-4.9473338433858594</c:v>
                </c:pt>
                <c:pt idx="48">
                  <c:v>-4.797311043800434</c:v>
                </c:pt>
                <c:pt idx="49">
                  <c:v>-4.6364742654669833</c:v>
                </c:pt>
                <c:pt idx="50">
                  <c:v>-4.4648125279267425</c:v>
                </c:pt>
                <c:pt idx="51">
                  <c:v>-4.2823148395720878</c:v>
                </c:pt>
                <c:pt idx="52">
                  <c:v>-4.0889701976309922</c:v>
                </c:pt>
                <c:pt idx="53">
                  <c:v>-3.8847675881648058</c:v>
                </c:pt>
                <c:pt idx="54">
                  <c:v>-3.6696959860482714</c:v>
                </c:pt>
                <c:pt idx="55">
                  <c:v>-3.4437443549628632</c:v>
                </c:pt>
                <c:pt idx="56">
                  <c:v>-3.2069016473812439</c:v>
                </c:pt>
                <c:pt idx="57">
                  <c:v>-2.9591568045583827</c:v>
                </c:pt>
                <c:pt idx="58">
                  <c:v>-2.7004987565248939</c:v>
                </c:pt>
                <c:pt idx="59">
                  <c:v>-2.4309164220670532</c:v>
                </c:pt>
                <c:pt idx="60">
                  <c:v>-2.1503987087223564</c:v>
                </c:pt>
                <c:pt idx="61">
                  <c:v>-1.8589345127573154</c:v>
                </c:pt>
                <c:pt idx="62">
                  <c:v>-1.556512719174119</c:v>
                </c:pt>
                <c:pt idx="63">
                  <c:v>-1.2431222016839882</c:v>
                </c:pt>
                <c:pt idx="64">
                  <c:v>-0.91875182269607336</c:v>
                </c:pt>
                <c:pt idx="65">
                  <c:v>-0.58339043331967488</c:v>
                </c:pt>
                <c:pt idx="66">
                  <c:v>-0.23702687333759798</c:v>
                </c:pt>
                <c:pt idx="67">
                  <c:v>0.12035002879606793</c:v>
                </c:pt>
                <c:pt idx="68">
                  <c:v>0.48875145597815361</c:v>
                </c:pt>
                <c:pt idx="69">
                  <c:v>0.86818860244752827</c:v>
                </c:pt>
                <c:pt idx="70">
                  <c:v>1.2586726738228471</c:v>
                </c:pt>
                <c:pt idx="71">
                  <c:v>1.6602148870936695</c:v>
                </c:pt>
                <c:pt idx="72">
                  <c:v>2.0728264706404431</c:v>
                </c:pt>
                <c:pt idx="73">
                  <c:v>2.4965186642456061</c:v>
                </c:pt>
                <c:pt idx="74">
                  <c:v>2.9313027191046892</c:v>
                </c:pt>
                <c:pt idx="75">
                  <c:v>3.3771898978329773</c:v>
                </c:pt>
                <c:pt idx="76">
                  <c:v>3.8341914744921546</c:v>
                </c:pt>
                <c:pt idx="77">
                  <c:v>4.3023187345792024</c:v>
                </c:pt>
                <c:pt idx="78">
                  <c:v>4.7815829750597061</c:v>
                </c:pt>
                <c:pt idx="79">
                  <c:v>5.2719955043656341</c:v>
                </c:pt>
                <c:pt idx="80">
                  <c:v>5.7735676424131022</c:v>
                </c:pt>
                <c:pt idx="81">
                  <c:v>6.2863107206112545</c:v>
                </c:pt>
                <c:pt idx="82">
                  <c:v>6.8102360818755869</c:v>
                </c:pt>
                <c:pt idx="83">
                  <c:v>7.3453550806412693</c:v>
                </c:pt>
                <c:pt idx="84">
                  <c:v>7.8916790828631456</c:v>
                </c:pt>
                <c:pt idx="85">
                  <c:v>8.4492194660557018</c:v>
                </c:pt>
                <c:pt idx="86">
                  <c:v>9.0179876192642006</c:v>
                </c:pt>
                <c:pt idx="87">
                  <c:v>9.5979949431201916</c:v>
                </c:pt>
                <c:pt idx="88">
                  <c:v>10.189252849805985</c:v>
                </c:pt>
                <c:pt idx="89">
                  <c:v>10.791772763121266</c:v>
                </c:pt>
                <c:pt idx="90">
                  <c:v>11.405566118440902</c:v>
                </c:pt>
                <c:pt idx="91">
                  <c:v>12.030644362759357</c:v>
                </c:pt>
                <c:pt idx="92">
                  <c:v>12.667018954699572</c:v>
                </c:pt>
                <c:pt idx="93">
                  <c:v>13.31470136451296</c:v>
                </c:pt>
                <c:pt idx="94">
                  <c:v>13.973703074101618</c:v>
                </c:pt>
                <c:pt idx="95">
                  <c:v>14.644035577022763</c:v>
                </c:pt>
                <c:pt idx="96">
                  <c:v>15.325710378508717</c:v>
                </c:pt>
                <c:pt idx="97">
                  <c:v>16.018738995469128</c:v>
                </c:pt>
                <c:pt idx="98">
                  <c:v>16.723132956508735</c:v>
                </c:pt>
                <c:pt idx="99">
                  <c:v>17.438903801945127</c:v>
                </c:pt>
                <c:pt idx="100">
                  <c:v>18.166063083804307</c:v>
                </c:pt>
                <c:pt idx="101">
                  <c:v>18.904622365847334</c:v>
                </c:pt>
                <c:pt idx="102">
                  <c:v>19.654593223576988</c:v>
                </c:pt>
                <c:pt idx="103">
                  <c:v>20.415987244248868</c:v>
                </c:pt>
                <c:pt idx="104">
                  <c:v>21.188816026882495</c:v>
                </c:pt>
                <c:pt idx="105">
                  <c:v>21.973091182279081</c:v>
                </c:pt>
                <c:pt idx="106">
                  <c:v>22.768824333025961</c:v>
                </c:pt>
                <c:pt idx="107">
                  <c:v>23.576027113514364</c:v>
                </c:pt>
                <c:pt idx="108">
                  <c:v>24.394711169946071</c:v>
                </c:pt>
                <c:pt idx="109">
                  <c:v>25.224888160348957</c:v>
                </c:pt>
                <c:pt idx="110">
                  <c:v>26.066569754592539</c:v>
                </c:pt>
                <c:pt idx="111">
                  <c:v>26.919767634392411</c:v>
                </c:pt>
                <c:pt idx="112">
                  <c:v>27.78449349332357</c:v>
                </c:pt>
                <c:pt idx="113">
                  <c:v>28.660759036838179</c:v>
                </c:pt>
                <c:pt idx="114">
                  <c:v>29.54857598227445</c:v>
                </c:pt>
                <c:pt idx="115">
                  <c:v>30.447956058865522</c:v>
                </c:pt>
                <c:pt idx="116">
                  <c:v>31.358911007755008</c:v>
                </c:pt>
                <c:pt idx="117">
                  <c:v>32.281452582010317</c:v>
                </c:pt>
                <c:pt idx="118">
                  <c:v>33.215592546633758</c:v>
                </c:pt>
                <c:pt idx="119">
                  <c:v>34.161342678566967</c:v>
                </c:pt>
                <c:pt idx="120">
                  <c:v>35.118714766717574</c:v>
                </c:pt>
                <c:pt idx="121">
                  <c:v>36.087720611961416</c:v>
                </c:pt>
                <c:pt idx="122">
                  <c:v>37.068372027151412</c:v>
                </c:pt>
                <c:pt idx="123">
                  <c:v>38.060680837146421</c:v>
                </c:pt>
                <c:pt idx="124">
                  <c:v>39.064658878800174</c:v>
                </c:pt>
                <c:pt idx="125">
                  <c:v>40.080318000992321</c:v>
                </c:pt>
                <c:pt idx="126">
                  <c:v>41.107670064635116</c:v>
                </c:pt>
                <c:pt idx="127">
                  <c:v>42.146726942675627</c:v>
                </c:pt>
                <c:pt idx="128">
                  <c:v>43.197500520129054</c:v>
                </c:pt>
                <c:pt idx="129">
                  <c:v>44.260002694069826</c:v>
                </c:pt>
                <c:pt idx="130">
                  <c:v>45.334245373651605</c:v>
                </c:pt>
                <c:pt idx="131">
                  <c:v>46.420240480129493</c:v>
                </c:pt>
                <c:pt idx="132">
                  <c:v>47.517999946853351</c:v>
                </c:pt>
                <c:pt idx="133">
                  <c:v>48.627535719296674</c:v>
                </c:pt>
                <c:pt idx="134">
                  <c:v>49.748859755061048</c:v>
                </c:pt>
                <c:pt idx="135">
                  <c:v>50.881984023884996</c:v>
                </c:pt>
                <c:pt idx="136">
                  <c:v>52.026920507668436</c:v>
                </c:pt>
                <c:pt idx="137">
                  <c:v>53.183681200472677</c:v>
                </c:pt>
                <c:pt idx="138">
                  <c:v>54.352278108538158</c:v>
                </c:pt>
                <c:pt idx="139">
                  <c:v>55.532723250300009</c:v>
                </c:pt>
                <c:pt idx="140">
                  <c:v>56.725028656390286</c:v>
                </c:pt>
                <c:pt idx="141">
                  <c:v>57.929206369666808</c:v>
                </c:pt>
                <c:pt idx="142">
                  <c:v>59.14526844520207</c:v>
                </c:pt>
                <c:pt idx="143">
                  <c:v>60.373226950323215</c:v>
                </c:pt>
                <c:pt idx="144">
                  <c:v>61.613093964600907</c:v>
                </c:pt>
                <c:pt idx="145">
                  <c:v>62.86488157987602</c:v>
                </c:pt>
                <c:pt idx="146">
                  <c:v>64.128601900266261</c:v>
                </c:pt>
                <c:pt idx="147">
                  <c:v>65.404267042177281</c:v>
                </c:pt>
                <c:pt idx="148">
                  <c:v>66.691889134320448</c:v>
                </c:pt>
                <c:pt idx="149">
                  <c:v>67.991480317723955</c:v>
                </c:pt>
                <c:pt idx="150">
                  <c:v>69.30305274573945</c:v>
                </c:pt>
                <c:pt idx="151">
                  <c:v>70.626618584062044</c:v>
                </c:pt>
                <c:pt idx="152">
                  <c:v>71.962190010739221</c:v>
                </c:pt>
                <c:pt idx="153">
                  <c:v>73.309779216186314</c:v>
                </c:pt>
                <c:pt idx="154">
                  <c:v>74.669398403190982</c:v>
                </c:pt>
                <c:pt idx="155">
                  <c:v>76.041059786939869</c:v>
                </c:pt>
                <c:pt idx="156">
                  <c:v>77.424775595011937</c:v>
                </c:pt>
                <c:pt idx="157">
                  <c:v>78.820558067409507</c:v>
                </c:pt>
                <c:pt idx="158">
                  <c:v>80.228419456569441</c:v>
                </c:pt>
                <c:pt idx="159">
                  <c:v>81.648372027349751</c:v>
                </c:pt>
                <c:pt idx="160">
                  <c:v>83.080428057085157</c:v>
                </c:pt>
                <c:pt idx="161">
                  <c:v>84.52459983556038</c:v>
                </c:pt>
                <c:pt idx="162">
                  <c:v>85.98089966504574</c:v>
                </c:pt>
                <c:pt idx="163">
                  <c:v>87.44933986030378</c:v>
                </c:pt>
                <c:pt idx="164">
                  <c:v>88.929932748598176</c:v>
                </c:pt>
                <c:pt idx="165">
                  <c:v>90.422690669713646</c:v>
                </c:pt>
                <c:pt idx="166">
                  <c:v>91.927625975960495</c:v>
                </c:pt>
                <c:pt idx="167">
                  <c:v>93.4447510321923</c:v>
                </c:pt>
                <c:pt idx="168">
                  <c:v>94.974078215821493</c:v>
                </c:pt>
                <c:pt idx="169">
                  <c:v>96.51561991682378</c:v>
                </c:pt>
                <c:pt idx="170">
                  <c:v>98.069388537758158</c:v>
                </c:pt>
                <c:pt idx="171">
                  <c:v>99.635396493777947</c:v>
                </c:pt>
                <c:pt idx="172">
                  <c:v>101.21365621264201</c:v>
                </c:pt>
                <c:pt idx="173">
                  <c:v>102.8041801347257</c:v>
                </c:pt>
                <c:pt idx="174">
                  <c:v>104.40698071303656</c:v>
                </c:pt>
                <c:pt idx="175">
                  <c:v>106.02207041323197</c:v>
                </c:pt>
                <c:pt idx="176">
                  <c:v>107.64946171362367</c:v>
                </c:pt>
                <c:pt idx="177">
                  <c:v>109.2891671051932</c:v>
                </c:pt>
                <c:pt idx="178">
                  <c:v>110.94119909160538</c:v>
                </c:pt>
                <c:pt idx="179">
                  <c:v>112.60557018922145</c:v>
                </c:pt>
                <c:pt idx="180">
                  <c:v>114.28229292711035</c:v>
                </c:pt>
              </c:numCache>
            </c:numRef>
          </c:yVal>
          <c:smooth val="0"/>
        </c:ser>
        <c:dLbls>
          <c:showLegendKey val="0"/>
          <c:showVal val="0"/>
          <c:showCatName val="0"/>
          <c:showSerName val="0"/>
          <c:showPercent val="0"/>
          <c:showBubbleSize val="0"/>
        </c:dLbls>
        <c:axId val="218790080"/>
        <c:axId val="218790656"/>
      </c:scatterChart>
      <c:valAx>
        <c:axId val="218790080"/>
        <c:scaling>
          <c:orientation val="minMax"/>
          <c:max val="1.5"/>
        </c:scaling>
        <c:delete val="0"/>
        <c:axPos val="b"/>
        <c:title>
          <c:tx>
            <c:rich>
              <a:bodyPr/>
              <a:lstStyle/>
              <a:p>
                <a:pPr>
                  <a:defRPr sz="800" b="1" i="0" u="none" strike="noStrike" baseline="0">
                    <a:solidFill>
                      <a:srgbClr val="000000"/>
                    </a:solidFill>
                    <a:latin typeface="Arial"/>
                    <a:ea typeface="Arial"/>
                    <a:cs typeface="Arial"/>
                  </a:defRPr>
                </a:pPr>
                <a:r>
                  <a:rPr lang="de-DE"/>
                  <a:t>Zeit in Jahren</a:t>
                </a:r>
              </a:p>
            </c:rich>
          </c:tx>
          <c:layout>
            <c:manualLayout>
              <c:xMode val="edge"/>
              <c:yMode val="edge"/>
              <c:x val="0.45370472933107581"/>
              <c:y val="0.8586587253249319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18790656"/>
        <c:crosses val="autoZero"/>
        <c:crossBetween val="midCat"/>
        <c:majorUnit val="0.25"/>
        <c:minorUnit val="0.125"/>
      </c:valAx>
      <c:valAx>
        <c:axId val="218790656"/>
        <c:scaling>
          <c:orientation val="minMax"/>
          <c:max val="20"/>
        </c:scaling>
        <c:delete val="0"/>
        <c:axPos val="l"/>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de-DE"/>
                  <a:t>Euro</a:t>
                </a:r>
              </a:p>
            </c:rich>
          </c:tx>
          <c:layout>
            <c:manualLayout>
              <c:xMode val="edge"/>
              <c:yMode val="edge"/>
              <c:x val="1.1574100238037647E-2"/>
              <c:y val="0.48409977518319203"/>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18790080"/>
        <c:crosses val="autoZero"/>
        <c:crossBetween val="midCat"/>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984251969" l="0.78740157499999996" r="0.78740157499999996" t="0.984251969" header="0.51181102300000003" footer="0.51181102300000003"/>
    <c:pageSetup paperSize="9"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45652173913043"/>
          <c:y val="5.5350653235004245E-2"/>
          <c:w val="0.78804347826086951"/>
          <c:h val="0.73800870980005662"/>
        </c:manualLayout>
      </c:layout>
      <c:areaChart>
        <c:grouping val="stacked"/>
        <c:varyColors val="0"/>
        <c:ser>
          <c:idx val="0"/>
          <c:order val="0"/>
          <c:tx>
            <c:strRef>
              <c:f>Zinseszinseffekt!$A$16</c:f>
              <c:strCache>
                <c:ptCount val="1"/>
                <c:pt idx="0">
                  <c:v>a</c:v>
                </c:pt>
              </c:strCache>
            </c:strRef>
          </c:tx>
          <c:spPr>
            <a:noFill/>
            <a:ln w="12700">
              <a:solidFill>
                <a:srgbClr val="000000"/>
              </a:solidFill>
              <a:prstDash val="solid"/>
            </a:ln>
          </c:spPr>
          <c:dLbls>
            <c:dLbl>
              <c:idx val="0"/>
              <c:layout>
                <c:manualLayout>
                  <c:x val="0.14740043364144695"/>
                  <c:y val="-0.40125472825010922"/>
                </c:manualLayout>
              </c:layout>
              <c:tx>
                <c:rich>
                  <a:bodyPr/>
                  <a:lstStyle/>
                  <a:p>
                    <a:r>
                      <a:rPr lang="de-DE"/>
                      <a:t> bei 5,5% Zins</a:t>
                    </a:r>
                  </a:p>
                </c:rich>
              </c:tx>
              <c:showLegendKey val="0"/>
              <c:showVal val="0"/>
              <c:showCatName val="0"/>
              <c:showSerName val="1"/>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1"/>
            <c:showPercent val="0"/>
            <c:showBubbleSize val="0"/>
            <c:showLeaderLines val="0"/>
          </c:dLbls>
          <c:cat>
            <c:numRef>
              <c:f>Zinseszinseffekt!$C$15:$S$15</c:f>
              <c:numCache>
                <c:formatCode>General</c:formatCode>
                <c:ptCount val="17"/>
                <c:pt idx="0">
                  <c:v>0</c:v>
                </c:pt>
                <c:pt idx="1">
                  <c:v>1</c:v>
                </c:pt>
                <c:pt idx="2">
                  <c:v>2</c:v>
                </c:pt>
                <c:pt idx="3">
                  <c:v>4</c:v>
                </c:pt>
                <c:pt idx="4">
                  <c:v>6</c:v>
                </c:pt>
                <c:pt idx="5">
                  <c:v>8</c:v>
                </c:pt>
                <c:pt idx="6">
                  <c:v>10</c:v>
                </c:pt>
                <c:pt idx="7">
                  <c:v>12</c:v>
                </c:pt>
                <c:pt idx="8">
                  <c:v>14</c:v>
                </c:pt>
                <c:pt idx="9">
                  <c:v>16</c:v>
                </c:pt>
                <c:pt idx="10">
                  <c:v>18</c:v>
                </c:pt>
                <c:pt idx="11">
                  <c:v>20</c:v>
                </c:pt>
                <c:pt idx="12">
                  <c:v>22</c:v>
                </c:pt>
                <c:pt idx="13">
                  <c:v>24</c:v>
                </c:pt>
                <c:pt idx="14">
                  <c:v>26</c:v>
                </c:pt>
                <c:pt idx="15">
                  <c:v>28</c:v>
                </c:pt>
                <c:pt idx="16" formatCode="0">
                  <c:v>30</c:v>
                </c:pt>
              </c:numCache>
            </c:numRef>
          </c:cat>
          <c:val>
            <c:numRef>
              <c:f>Zinseszinseffekt!$C$16:$S$16</c:f>
              <c:numCache>
                <c:formatCode>General</c:formatCode>
                <c:ptCount val="17"/>
                <c:pt idx="0">
                  <c:v>10000</c:v>
                </c:pt>
                <c:pt idx="1">
                  <c:v>10149.999999999998</c:v>
                </c:pt>
                <c:pt idx="2">
                  <c:v>10300</c:v>
                </c:pt>
                <c:pt idx="3">
                  <c:v>10600</c:v>
                </c:pt>
                <c:pt idx="4">
                  <c:v>10900</c:v>
                </c:pt>
                <c:pt idx="5">
                  <c:v>11200.000000000002</c:v>
                </c:pt>
                <c:pt idx="6">
                  <c:v>11500</c:v>
                </c:pt>
                <c:pt idx="7">
                  <c:v>11800</c:v>
                </c:pt>
                <c:pt idx="8">
                  <c:v>12100</c:v>
                </c:pt>
                <c:pt idx="9">
                  <c:v>12400</c:v>
                </c:pt>
                <c:pt idx="10">
                  <c:v>12700</c:v>
                </c:pt>
                <c:pt idx="11">
                  <c:v>13000</c:v>
                </c:pt>
                <c:pt idx="12">
                  <c:v>13300</c:v>
                </c:pt>
                <c:pt idx="13">
                  <c:v>13599.999999999998</c:v>
                </c:pt>
                <c:pt idx="14">
                  <c:v>13900.000000000002</c:v>
                </c:pt>
                <c:pt idx="15">
                  <c:v>14200</c:v>
                </c:pt>
                <c:pt idx="16" formatCode="0">
                  <c:v>14500</c:v>
                </c:pt>
              </c:numCache>
            </c:numRef>
          </c:val>
        </c:ser>
        <c:ser>
          <c:idx val="1"/>
          <c:order val="1"/>
          <c:tx>
            <c:strRef>
              <c:f>Zinseszinseffekt!$A$17</c:f>
              <c:strCache>
                <c:ptCount val="1"/>
                <c:pt idx="0">
                  <c:v>b</c:v>
                </c:pt>
              </c:strCache>
            </c:strRef>
          </c:tx>
          <c:spPr>
            <a:solidFill>
              <a:srgbClr val="000000"/>
            </a:solidFill>
            <a:ln w="12700">
              <a:solidFill>
                <a:srgbClr val="000000"/>
              </a:solidFill>
              <a:prstDash val="solid"/>
            </a:ln>
          </c:spPr>
          <c:dLbls>
            <c:dLbl>
              <c:idx val="0"/>
              <c:layout>
                <c:manualLayout>
                  <c:x val="0.29782608695652174"/>
                  <c:y val="-7.1860998924949876E-2"/>
                </c:manualLayout>
              </c:layout>
              <c:tx>
                <c:rich>
                  <a:bodyPr/>
                  <a:lstStyle/>
                  <a:p>
                    <a:r>
                      <a:rPr lang="de-DE"/>
                      <a:t>15 631 Euro</a:t>
                    </a:r>
                  </a:p>
                </c:rich>
              </c:tx>
              <c:showLegendKey val="0"/>
              <c:showVal val="0"/>
              <c:showCatName val="0"/>
              <c:showSerName val="1"/>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1"/>
            <c:showPercent val="0"/>
            <c:showBubbleSize val="0"/>
            <c:showLeaderLines val="0"/>
          </c:dLbls>
          <c:cat>
            <c:numRef>
              <c:f>Zinseszinseffekt!$C$15:$S$15</c:f>
              <c:numCache>
                <c:formatCode>General</c:formatCode>
                <c:ptCount val="17"/>
                <c:pt idx="0">
                  <c:v>0</c:v>
                </c:pt>
                <c:pt idx="1">
                  <c:v>1</c:v>
                </c:pt>
                <c:pt idx="2">
                  <c:v>2</c:v>
                </c:pt>
                <c:pt idx="3">
                  <c:v>4</c:v>
                </c:pt>
                <c:pt idx="4">
                  <c:v>6</c:v>
                </c:pt>
                <c:pt idx="5">
                  <c:v>8</c:v>
                </c:pt>
                <c:pt idx="6">
                  <c:v>10</c:v>
                </c:pt>
                <c:pt idx="7">
                  <c:v>12</c:v>
                </c:pt>
                <c:pt idx="8">
                  <c:v>14</c:v>
                </c:pt>
                <c:pt idx="9">
                  <c:v>16</c:v>
                </c:pt>
                <c:pt idx="10">
                  <c:v>18</c:v>
                </c:pt>
                <c:pt idx="11">
                  <c:v>20</c:v>
                </c:pt>
                <c:pt idx="12">
                  <c:v>22</c:v>
                </c:pt>
                <c:pt idx="13">
                  <c:v>24</c:v>
                </c:pt>
                <c:pt idx="14">
                  <c:v>26</c:v>
                </c:pt>
                <c:pt idx="15">
                  <c:v>28</c:v>
                </c:pt>
                <c:pt idx="16" formatCode="0">
                  <c:v>30</c:v>
                </c:pt>
              </c:numCache>
            </c:numRef>
          </c:cat>
          <c:val>
            <c:numRef>
              <c:f>Zinseszinseffekt!$C$17:$S$17</c:f>
              <c:numCache>
                <c:formatCode>0</c:formatCode>
                <c:ptCount val="17"/>
                <c:pt idx="0">
                  <c:v>0</c:v>
                </c:pt>
                <c:pt idx="1">
                  <c:v>0</c:v>
                </c:pt>
                <c:pt idx="2">
                  <c:v>2.249999999996362</c:v>
                </c:pt>
                <c:pt idx="3">
                  <c:v>13.63550624999516</c:v>
                </c:pt>
                <c:pt idx="4">
                  <c:v>34.432639426397145</c:v>
                </c:pt>
                <c:pt idx="5">
                  <c:v>64.925865953055109</c:v>
                </c:pt>
                <c:pt idx="6">
                  <c:v>105.40825025148479</c:v>
                </c:pt>
                <c:pt idx="7">
                  <c:v>156.18171461533348</c:v>
                </c:pt>
                <c:pt idx="8">
                  <c:v>217.55730693957776</c:v>
                </c:pt>
                <c:pt idx="9">
                  <c:v>289.85547654182301</c:v>
                </c:pt>
                <c:pt idx="10">
                  <c:v>373.40635832029693</c:v>
                </c:pt>
                <c:pt idx="11">
                  <c:v>468.55006550052167</c:v>
                </c:pt>
                <c:pt idx="12">
                  <c:v>575.63699123027072</c:v>
                </c:pt>
                <c:pt idx="13">
                  <c:v>695.0281192902039</c:v>
                </c:pt>
                <c:pt idx="14">
                  <c:v>827.09534419574447</c:v>
                </c:pt>
                <c:pt idx="15">
                  <c:v>972.22180097405726</c:v>
                </c:pt>
                <c:pt idx="16">
                  <c:v>1130.8022049084939</c:v>
                </c:pt>
              </c:numCache>
            </c:numRef>
          </c:val>
        </c:ser>
        <c:ser>
          <c:idx val="2"/>
          <c:order val="2"/>
          <c:tx>
            <c:strRef>
              <c:f>Zinseszinseffekt!$A$18</c:f>
              <c:strCache>
                <c:ptCount val="1"/>
                <c:pt idx="0">
                  <c:v>c</c:v>
                </c:pt>
              </c:strCache>
            </c:strRef>
          </c:tx>
          <c:spPr>
            <a:noFill/>
            <a:ln w="12700">
              <a:solidFill>
                <a:srgbClr val="000000"/>
              </a:solidFill>
              <a:prstDash val="solid"/>
            </a:ln>
          </c:spPr>
          <c:dLbls>
            <c:dLbl>
              <c:idx val="0"/>
              <c:layout>
                <c:manualLayout>
                  <c:x val="0.27441144585187721"/>
                  <c:y val="8.9941986034033652E-2"/>
                </c:manualLayout>
              </c:layout>
              <c:tx>
                <c:rich>
                  <a:bodyPr/>
                  <a:lstStyle/>
                  <a:p>
                    <a:r>
                      <a:rPr lang="de-DE"/>
                      <a:t>bei 1,5% Zins</a:t>
                    </a:r>
                  </a:p>
                </c:rich>
              </c:tx>
              <c:showLegendKey val="0"/>
              <c:showVal val="0"/>
              <c:showCatName val="0"/>
              <c:showSerName val="1"/>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1"/>
            <c:showPercent val="0"/>
            <c:showBubbleSize val="0"/>
            <c:showLeaderLines val="0"/>
          </c:dLbls>
          <c:cat>
            <c:numRef>
              <c:f>Zinseszinseffekt!$C$15:$S$15</c:f>
              <c:numCache>
                <c:formatCode>General</c:formatCode>
                <c:ptCount val="17"/>
                <c:pt idx="0">
                  <c:v>0</c:v>
                </c:pt>
                <c:pt idx="1">
                  <c:v>1</c:v>
                </c:pt>
                <c:pt idx="2">
                  <c:v>2</c:v>
                </c:pt>
                <c:pt idx="3">
                  <c:v>4</c:v>
                </c:pt>
                <c:pt idx="4">
                  <c:v>6</c:v>
                </c:pt>
                <c:pt idx="5">
                  <c:v>8</c:v>
                </c:pt>
                <c:pt idx="6">
                  <c:v>10</c:v>
                </c:pt>
                <c:pt idx="7">
                  <c:v>12</c:v>
                </c:pt>
                <c:pt idx="8">
                  <c:v>14</c:v>
                </c:pt>
                <c:pt idx="9">
                  <c:v>16</c:v>
                </c:pt>
                <c:pt idx="10">
                  <c:v>18</c:v>
                </c:pt>
                <c:pt idx="11">
                  <c:v>20</c:v>
                </c:pt>
                <c:pt idx="12">
                  <c:v>22</c:v>
                </c:pt>
                <c:pt idx="13">
                  <c:v>24</c:v>
                </c:pt>
                <c:pt idx="14">
                  <c:v>26</c:v>
                </c:pt>
                <c:pt idx="15">
                  <c:v>28</c:v>
                </c:pt>
                <c:pt idx="16" formatCode="0">
                  <c:v>30</c:v>
                </c:pt>
              </c:numCache>
            </c:numRef>
          </c:cat>
          <c:val>
            <c:numRef>
              <c:f>Zinseszinseffekt!$C$18:$S$18</c:f>
              <c:numCache>
                <c:formatCode>0</c:formatCode>
                <c:ptCount val="17"/>
                <c:pt idx="0">
                  <c:v>0</c:v>
                </c:pt>
                <c:pt idx="1">
                  <c:v>400.00000000000182</c:v>
                </c:pt>
                <c:pt idx="2">
                  <c:v>797.75000000000546</c:v>
                </c:pt>
                <c:pt idx="3">
                  <c:v>1586.3644937500048</c:v>
                </c:pt>
                <c:pt idx="4">
                  <c:v>2365.5673605736029</c:v>
                </c:pt>
                <c:pt idx="5">
                  <c:v>3135.0741340469431</c:v>
                </c:pt>
                <c:pt idx="6">
                  <c:v>3894.5917497485152</c:v>
                </c:pt>
                <c:pt idx="7">
                  <c:v>4643.8182853846665</c:v>
                </c:pt>
                <c:pt idx="8">
                  <c:v>5382.4426930604222</c:v>
                </c:pt>
                <c:pt idx="9">
                  <c:v>6110.144523458177</c:v>
                </c:pt>
                <c:pt idx="10">
                  <c:v>6826.5936416797031</c:v>
                </c:pt>
                <c:pt idx="11">
                  <c:v>7531.4499344994783</c:v>
                </c:pt>
                <c:pt idx="12">
                  <c:v>8224.3630087697293</c:v>
                </c:pt>
                <c:pt idx="13">
                  <c:v>8904.9718807098016</c:v>
                </c:pt>
                <c:pt idx="14">
                  <c:v>9572.9046558042501</c:v>
                </c:pt>
                <c:pt idx="15">
                  <c:v>10227.778199025943</c:v>
                </c:pt>
                <c:pt idx="16">
                  <c:v>10869.197795091506</c:v>
                </c:pt>
              </c:numCache>
            </c:numRef>
          </c:val>
        </c:ser>
        <c:ser>
          <c:idx val="3"/>
          <c:order val="3"/>
          <c:tx>
            <c:strRef>
              <c:f>Zinseszinseffekt!$A$19</c:f>
              <c:strCache>
                <c:ptCount val="1"/>
                <c:pt idx="0">
                  <c:v>d</c:v>
                </c:pt>
              </c:strCache>
            </c:strRef>
          </c:tx>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Lbls>
            <c:dLbl>
              <c:idx val="0"/>
              <c:layout>
                <c:manualLayout>
                  <c:x val="0.34130406253566131"/>
                  <c:y val="-0.47065384354630946"/>
                </c:manualLayout>
              </c:layout>
              <c:tx>
                <c:rich>
                  <a:bodyPr/>
                  <a:lstStyle/>
                  <a:p>
                    <a:r>
                      <a:rPr lang="de-DE"/>
                      <a:t>49 840 Euro</a:t>
                    </a:r>
                  </a:p>
                </c:rich>
              </c:tx>
              <c:showLegendKey val="0"/>
              <c:showVal val="0"/>
              <c:showCatName val="0"/>
              <c:showSerName val="1"/>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1"/>
            <c:showPercent val="0"/>
            <c:showBubbleSize val="0"/>
            <c:showLeaderLines val="0"/>
          </c:dLbls>
          <c:cat>
            <c:numRef>
              <c:f>Zinseszinseffekt!$C$15:$S$15</c:f>
              <c:numCache>
                <c:formatCode>General</c:formatCode>
                <c:ptCount val="17"/>
                <c:pt idx="0">
                  <c:v>0</c:v>
                </c:pt>
                <c:pt idx="1">
                  <c:v>1</c:v>
                </c:pt>
                <c:pt idx="2">
                  <c:v>2</c:v>
                </c:pt>
                <c:pt idx="3">
                  <c:v>4</c:v>
                </c:pt>
                <c:pt idx="4">
                  <c:v>6</c:v>
                </c:pt>
                <c:pt idx="5">
                  <c:v>8</c:v>
                </c:pt>
                <c:pt idx="6">
                  <c:v>10</c:v>
                </c:pt>
                <c:pt idx="7">
                  <c:v>12</c:v>
                </c:pt>
                <c:pt idx="8">
                  <c:v>14</c:v>
                </c:pt>
                <c:pt idx="9">
                  <c:v>16</c:v>
                </c:pt>
                <c:pt idx="10">
                  <c:v>18</c:v>
                </c:pt>
                <c:pt idx="11">
                  <c:v>20</c:v>
                </c:pt>
                <c:pt idx="12">
                  <c:v>22</c:v>
                </c:pt>
                <c:pt idx="13">
                  <c:v>24</c:v>
                </c:pt>
                <c:pt idx="14">
                  <c:v>26</c:v>
                </c:pt>
                <c:pt idx="15">
                  <c:v>28</c:v>
                </c:pt>
                <c:pt idx="16" formatCode="0">
                  <c:v>30</c:v>
                </c:pt>
              </c:numCache>
            </c:numRef>
          </c:cat>
          <c:val>
            <c:numRef>
              <c:f>Zinseszinseffekt!$C$19:$S$19</c:f>
              <c:numCache>
                <c:formatCode>0</c:formatCode>
                <c:ptCount val="17"/>
                <c:pt idx="0">
                  <c:v>0</c:v>
                </c:pt>
                <c:pt idx="1">
                  <c:v>0</c:v>
                </c:pt>
                <c:pt idx="2">
                  <c:v>30.249999999998181</c:v>
                </c:pt>
                <c:pt idx="3">
                  <c:v>188.24650624999776</c:v>
                </c:pt>
                <c:pt idx="4">
                  <c:v>488.42806761890279</c:v>
                </c:pt>
                <c:pt idx="5">
                  <c:v>946.865149961528</c:v>
                </c:pt>
                <c:pt idx="6">
                  <c:v>1581.4445835359293</c:v>
                </c:pt>
                <c:pt idx="7">
                  <c:v>2412.0748575900761</c:v>
                </c:pt>
                <c:pt idx="8">
                  <c:v>3460.9146183691919</c:v>
                </c:pt>
                <c:pt idx="9">
                  <c:v>4752.626993110367</c:v>
                </c:pt>
                <c:pt idx="10">
                  <c:v>6314.6626590066662</c:v>
                </c:pt>
                <c:pt idx="11">
                  <c:v>8177.5749060408925</c:v>
                </c:pt>
                <c:pt idx="12">
                  <c:v>10375.370309796162</c:v>
                </c:pt>
                <c:pt idx="13">
                  <c:v>12945.899039060863</c:v>
                </c:pt>
                <c:pt idx="14">
                  <c:v>15931.289277950727</c:v>
                </c:pt>
                <c:pt idx="15">
                  <c:v>19378.430748591098</c:v>
                </c:pt>
                <c:pt idx="16">
                  <c:v>23339.5128839506</c:v>
                </c:pt>
              </c:numCache>
            </c:numRef>
          </c:val>
        </c:ser>
        <c:dLbls>
          <c:showLegendKey val="0"/>
          <c:showVal val="0"/>
          <c:showCatName val="0"/>
          <c:showSerName val="1"/>
          <c:showPercent val="0"/>
          <c:showBubbleSize val="0"/>
        </c:dLbls>
        <c:axId val="218435072"/>
        <c:axId val="219390528"/>
      </c:areaChart>
      <c:catAx>
        <c:axId val="218435072"/>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Zeit in Jahren                                         </a:t>
                </a:r>
              </a:p>
            </c:rich>
          </c:tx>
          <c:layout>
            <c:manualLayout>
              <c:xMode val="edge"/>
              <c:yMode val="edge"/>
              <c:x val="0.50815217391304346"/>
              <c:y val="0.89299053885806845"/>
            </c:manualLayout>
          </c:layout>
          <c:overlay val="0"/>
          <c:spPr>
            <a:noFill/>
            <a:ln w="25400">
              <a:noFill/>
            </a:ln>
          </c:spPr>
        </c:title>
        <c:numFmt formatCode="General" sourceLinked="1"/>
        <c:majorTickMark val="cross"/>
        <c:minorTickMark val="cross"/>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219390528"/>
        <c:crosses val="autoZero"/>
        <c:auto val="1"/>
        <c:lblAlgn val="ctr"/>
        <c:lblOffset val="100"/>
        <c:tickLblSkip val="1"/>
        <c:tickMarkSkip val="4"/>
        <c:noMultiLvlLbl val="0"/>
      </c:catAx>
      <c:valAx>
        <c:axId val="219390528"/>
        <c:scaling>
          <c:orientation val="minMax"/>
          <c:max val="55000"/>
          <c:min val="0"/>
        </c:scaling>
        <c:delete val="0"/>
        <c:axPos val="l"/>
        <c:majorGridlines>
          <c:spPr>
            <a:ln w="3175">
              <a:solidFill>
                <a:srgbClr val="000000"/>
              </a:solidFill>
              <a:prstDash val="sysDash"/>
            </a:ln>
          </c:spPr>
        </c:majorGridlines>
        <c:title>
          <c:tx>
            <c:rich>
              <a:bodyPr rot="0" vert="horz"/>
              <a:lstStyle/>
              <a:p>
                <a:pPr algn="ctr">
                  <a:defRPr sz="900" b="1" i="0" u="none" strike="noStrike" baseline="0">
                    <a:solidFill>
                      <a:srgbClr val="000000"/>
                    </a:solidFill>
                    <a:latin typeface="Arial"/>
                    <a:ea typeface="Arial"/>
                    <a:cs typeface="Arial"/>
                  </a:defRPr>
                </a:pPr>
                <a:r>
                  <a:rPr lang="de-DE"/>
                  <a:t>Euro</a:t>
                </a:r>
              </a:p>
            </c:rich>
          </c:tx>
          <c:layout>
            <c:manualLayout>
              <c:xMode val="edge"/>
              <c:yMode val="edge"/>
              <c:x val="2.1739130434782608E-2"/>
              <c:y val="2.214026129400169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18435072"/>
        <c:crosses val="autoZero"/>
        <c:crossBetween val="midCat"/>
        <c:majorUnit val="10000"/>
        <c:minorUnit val="2000"/>
      </c:valAx>
      <c:spPr>
        <a:noFill/>
        <a:ln w="25400">
          <a:noFill/>
        </a:ln>
      </c:spPr>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Wertverlauf</a:t>
            </a:r>
          </a:p>
        </c:rich>
      </c:tx>
      <c:layout>
        <c:manualLayout>
          <c:xMode val="edge"/>
          <c:yMode val="edge"/>
          <c:x val="0.26237300584340534"/>
          <c:y val="2.2727272727272728E-2"/>
        </c:manualLayout>
      </c:layout>
      <c:overlay val="1"/>
    </c:title>
    <c:autoTitleDeleted val="0"/>
    <c:plotArea>
      <c:layout>
        <c:manualLayout>
          <c:layoutTarget val="inner"/>
          <c:xMode val="edge"/>
          <c:yMode val="edge"/>
          <c:x val="8.229502176425478E-2"/>
          <c:y val="0.16166994750656163"/>
          <c:w val="0.58517164778271036"/>
          <c:h val="0.71140748031496048"/>
        </c:manualLayout>
      </c:layout>
      <c:scatterChart>
        <c:scatterStyle val="smoothMarker"/>
        <c:varyColors val="0"/>
        <c:ser>
          <c:idx val="3"/>
          <c:order val="3"/>
          <c:tx>
            <c:strRef>
              <c:f>'Aufg. 2.7'!$S$9</c:f>
              <c:strCache>
                <c:ptCount val="1"/>
                <c:pt idx="0">
                  <c:v>Kaufkraft bei Inflation B</c:v>
                </c:pt>
              </c:strCache>
            </c:strRef>
          </c:tx>
          <c:spPr>
            <a:ln>
              <a:solidFill>
                <a:srgbClr val="FF0000"/>
              </a:solidFill>
            </a:ln>
          </c:spPr>
          <c:marker>
            <c:symbol val="none"/>
          </c:marker>
          <c:xVal>
            <c:numRef>
              <c:f>'Aufg. 2.7'!$O$10:$O$25</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'Aufg. 2.7'!$S$10:$S$25</c:f>
              <c:numCache>
                <c:formatCode>#,##0.00</c:formatCode>
                <c:ptCount val="16"/>
                <c:pt idx="0">
                  <c:v>200000</c:v>
                </c:pt>
                <c:pt idx="1">
                  <c:v>196729.39563106792</c:v>
                </c:pt>
                <c:pt idx="2">
                  <c:v>193507.03569694652</c:v>
                </c:pt>
                <c:pt idx="3">
                  <c:v>190332.38030623415</c:v>
                </c:pt>
                <c:pt idx="4">
                  <c:v>187204.88936768295</c:v>
                </c:pt>
                <c:pt idx="5">
                  <c:v>184124.0228891024</c:v>
                </c:pt>
                <c:pt idx="6">
                  <c:v>181089.24126216289</c:v>
                </c:pt>
                <c:pt idx="7">
                  <c:v>178100.00553360948</c:v>
                </c:pt>
                <c:pt idx="8">
                  <c:v>175155.77766337903</c:v>
                </c:pt>
                <c:pt idx="9">
                  <c:v>172256.02077009762</c:v>
                </c:pt>
                <c:pt idx="10">
                  <c:v>169400.19936442006</c:v>
                </c:pt>
                <c:pt idx="11">
                  <c:v>166587.77957065767</c:v>
                </c:pt>
                <c:pt idx="12">
                  <c:v>163818.22933712546</c:v>
                </c:pt>
                <c:pt idx="13">
                  <c:v>161091.01863562674</c:v>
                </c:pt>
                <c:pt idx="14">
                  <c:v>158405.61965047853</c:v>
                </c:pt>
                <c:pt idx="15">
                  <c:v>155761.5069574675</c:v>
                </c:pt>
              </c:numCache>
            </c:numRef>
          </c:yVal>
          <c:smooth val="1"/>
        </c:ser>
        <c:dLbls>
          <c:showLegendKey val="0"/>
          <c:showVal val="0"/>
          <c:showCatName val="0"/>
          <c:showSerName val="0"/>
          <c:showPercent val="0"/>
          <c:showBubbleSize val="0"/>
        </c:dLbls>
        <c:axId val="219392832"/>
        <c:axId val="219393408"/>
      </c:scatterChart>
      <c:scatterChart>
        <c:scatterStyle val="lineMarker"/>
        <c:varyColors val="0"/>
        <c:ser>
          <c:idx val="0"/>
          <c:order val="0"/>
          <c:tx>
            <c:strRef>
              <c:f>'Aufg. 2.7'!$P$9</c:f>
              <c:strCache>
                <c:ptCount val="1"/>
                <c:pt idx="0">
                  <c:v>Endkapital  (keine Steuern)</c:v>
                </c:pt>
              </c:strCache>
            </c:strRef>
          </c:tx>
          <c:marker>
            <c:symbol val="none"/>
          </c:marker>
          <c:xVal>
            <c:numRef>
              <c:f>'Aufg. 2.7'!$O$10:$O$25</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'Aufg. 2.7'!$P$10:$P$25</c:f>
              <c:numCache>
                <c:formatCode>#,##0.00</c:formatCode>
                <c:ptCount val="16"/>
                <c:pt idx="0">
                  <c:v>200000</c:v>
                </c:pt>
                <c:pt idx="1">
                  <c:v>202999.99999999997</c:v>
                </c:pt>
                <c:pt idx="2">
                  <c:v>206044.99999999994</c:v>
                </c:pt>
                <c:pt idx="3">
                  <c:v>209135.67499999993</c:v>
                </c:pt>
                <c:pt idx="4">
                  <c:v>212272.7101249999</c:v>
                </c:pt>
                <c:pt idx="5">
                  <c:v>215456.80077687488</c:v>
                </c:pt>
                <c:pt idx="6">
                  <c:v>218688.65278852798</c:v>
                </c:pt>
                <c:pt idx="7">
                  <c:v>221968.98258035586</c:v>
                </c:pt>
                <c:pt idx="8">
                  <c:v>225298.51731906118</c:v>
                </c:pt>
                <c:pt idx="9">
                  <c:v>228677.99507884707</c:v>
                </c:pt>
                <c:pt idx="10">
                  <c:v>232108.16500502976</c:v>
                </c:pt>
                <c:pt idx="11">
                  <c:v>235589.78748010518</c:v>
                </c:pt>
                <c:pt idx="12">
                  <c:v>239123.63429230673</c:v>
                </c:pt>
                <c:pt idx="13">
                  <c:v>242710.48880669131</c:v>
                </c:pt>
                <c:pt idx="14">
                  <c:v>246351.14613879166</c:v>
                </c:pt>
                <c:pt idx="15">
                  <c:v>250046.4133308735</c:v>
                </c:pt>
              </c:numCache>
            </c:numRef>
          </c:yVal>
          <c:smooth val="0"/>
        </c:ser>
        <c:ser>
          <c:idx val="1"/>
          <c:order val="1"/>
          <c:tx>
            <c:strRef>
              <c:f>'Aufg. 2.7'!$Q$9</c:f>
              <c:strCache>
                <c:ptCount val="1"/>
                <c:pt idx="0">
                  <c:v>Endkapital nach Steuern</c:v>
                </c:pt>
              </c:strCache>
            </c:strRef>
          </c:tx>
          <c:marker>
            <c:symbol val="none"/>
          </c:marker>
          <c:xVal>
            <c:numRef>
              <c:f>'Aufg. 2.7'!$O$10:$O$25</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'Aufg. 2.7'!$Q$10:$Q$25</c:f>
              <c:numCache>
                <c:formatCode>#,##0.00</c:formatCode>
                <c:ptCount val="16"/>
                <c:pt idx="0">
                  <c:v>200000</c:v>
                </c:pt>
                <c:pt idx="1">
                  <c:v>202631.27749999997</c:v>
                </c:pt>
                <c:pt idx="2">
                  <c:v>205291.61417089056</c:v>
                </c:pt>
                <c:pt idx="3">
                  <c:v>207981.33093489031</c:v>
                </c:pt>
                <c:pt idx="4">
                  <c:v>210700.75225840247</c:v>
                </c:pt>
                <c:pt idx="5">
                  <c:v>213450.20619115618</c:v>
                </c:pt>
                <c:pt idx="6">
                  <c:v>216230.02440577972</c:v>
                </c:pt>
                <c:pt idx="7">
                  <c:v>219040.54223781102</c:v>
                </c:pt>
                <c:pt idx="8">
                  <c:v>221882.09872614982</c:v>
                </c:pt>
                <c:pt idx="9">
                  <c:v>224755.03665395672</c:v>
                </c:pt>
                <c:pt idx="10">
                  <c:v>227659.70259000381</c:v>
                </c:pt>
                <c:pt idx="11">
                  <c:v>230596.44693048217</c:v>
                </c:pt>
                <c:pt idx="12">
                  <c:v>233565.62394127066</c:v>
                </c:pt>
                <c:pt idx="13">
                  <c:v>236567.59180067203</c:v>
                </c:pt>
                <c:pt idx="14">
                  <c:v>239602.7126426207</c:v>
                </c:pt>
                <c:pt idx="15">
                  <c:v>242671.35260036762</c:v>
                </c:pt>
              </c:numCache>
            </c:numRef>
          </c:yVal>
          <c:smooth val="0"/>
        </c:ser>
        <c:ser>
          <c:idx val="2"/>
          <c:order val="2"/>
          <c:tx>
            <c:strRef>
              <c:f>'Aufg. 2.7'!$R$9</c:f>
              <c:strCache>
                <c:ptCount val="1"/>
                <c:pt idx="0">
                  <c:v>Kaufkraft bei Inflation A</c:v>
                </c:pt>
              </c:strCache>
            </c:strRef>
          </c:tx>
          <c:marker>
            <c:symbol val="none"/>
          </c:marker>
          <c:xVal>
            <c:numRef>
              <c:f>'Aufg. 2.7'!$O$10:$O$25</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'Aufg. 2.7'!$R$10:$R$25</c:f>
              <c:numCache>
                <c:formatCode>#,##0.00</c:formatCode>
                <c:ptCount val="16"/>
                <c:pt idx="0">
                  <c:v>200000</c:v>
                </c:pt>
                <c:pt idx="1">
                  <c:v>198658.1151960784</c:v>
                </c:pt>
                <c:pt idx="2">
                  <c:v>197319.89059101362</c:v>
                </c:pt>
                <c:pt idx="3">
                  <c:v>195985.45330876729</c:v>
                </c:pt>
                <c:pt idx="4">
                  <c:v>194654.92623427085</c:v>
                </c:pt>
                <c:pt idx="5">
                  <c:v>193328.4281118784</c:v>
                </c:pt>
                <c:pt idx="6">
                  <c:v>192006.07364175425</c:v>
                </c:pt>
                <c:pt idx="7">
                  <c:v>190687.97357423732</c:v>
                </c:pt>
                <c:pt idx="8">
                  <c:v>189374.23480222261</c:v>
                </c:pt>
                <c:pt idx="9">
                  <c:v>188064.96045160064</c:v>
                </c:pt>
                <c:pt idx="10">
                  <c:v>186760.24996979311</c:v>
                </c:pt>
                <c:pt idx="11">
                  <c:v>185460.19921242408</c:v>
                </c:pt>
                <c:pt idx="12">
                  <c:v>184164.90052816345</c:v>
                </c:pt>
                <c:pt idx="13">
                  <c:v>182874.4428417813</c:v>
                </c:pt>
                <c:pt idx="14">
                  <c:v>181588.91173544701</c:v>
                </c:pt>
                <c:pt idx="15">
                  <c:v>180308.38952831092</c:v>
                </c:pt>
              </c:numCache>
            </c:numRef>
          </c:yVal>
          <c:smooth val="0"/>
        </c:ser>
        <c:dLbls>
          <c:showLegendKey val="0"/>
          <c:showVal val="0"/>
          <c:showCatName val="0"/>
          <c:showSerName val="0"/>
          <c:showPercent val="0"/>
          <c:showBubbleSize val="0"/>
        </c:dLbls>
        <c:axId val="219392832"/>
        <c:axId val="219393408"/>
      </c:scatterChart>
      <c:valAx>
        <c:axId val="219392832"/>
        <c:scaling>
          <c:orientation val="minMax"/>
          <c:max val="15"/>
          <c:min val="0"/>
        </c:scaling>
        <c:delete val="0"/>
        <c:axPos val="b"/>
        <c:numFmt formatCode="General" sourceLinked="1"/>
        <c:majorTickMark val="out"/>
        <c:minorTickMark val="cross"/>
        <c:tickLblPos val="nextTo"/>
        <c:crossAx val="219393408"/>
        <c:crosses val="autoZero"/>
        <c:crossBetween val="midCat"/>
        <c:majorUnit val="2"/>
        <c:minorUnit val="1"/>
      </c:valAx>
      <c:valAx>
        <c:axId val="219393408"/>
        <c:scaling>
          <c:orientation val="minMax"/>
          <c:min val="100000"/>
        </c:scaling>
        <c:delete val="0"/>
        <c:axPos val="l"/>
        <c:minorGridlines/>
        <c:numFmt formatCode="#,##0" sourceLinked="0"/>
        <c:majorTickMark val="out"/>
        <c:minorTickMark val="none"/>
        <c:tickLblPos val="nextTo"/>
        <c:crossAx val="219392832"/>
        <c:crosses val="autoZero"/>
        <c:crossBetween val="midCat"/>
        <c:majorUnit val="25000"/>
        <c:minorUnit val="12500"/>
      </c:valAx>
    </c:plotArea>
    <c:legend>
      <c:legendPos val="r"/>
      <c:layout>
        <c:manualLayout>
          <c:xMode val="edge"/>
          <c:yMode val="edge"/>
          <c:x val="0.61958948547069481"/>
          <c:y val="0.1196026538349373"/>
          <c:w val="0.37845580002088225"/>
          <c:h val="0.49613808690580347"/>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'Beisp. 2.2.1 bis 2.2.3'!$B$26</c:f>
          <c:strCache>
            <c:ptCount val="1"/>
            <c:pt idx="0">
              <c:v>Aus 100 Euro werden bei 3,0% Zinsen</c:v>
            </c:pt>
          </c:strCache>
        </c:strRef>
      </c:tx>
      <c:layout>
        <c:manualLayout>
          <c:xMode val="edge"/>
          <c:yMode val="edge"/>
          <c:x val="0.22906021143865424"/>
          <c:y val="3.5294168333766564E-2"/>
        </c:manualLayout>
      </c:layout>
      <c:overlay val="0"/>
      <c:spPr>
        <a:solidFill>
          <a:srgbClr val="FFFFFF"/>
        </a:solidFill>
        <a:ln w="25400">
          <a:noFill/>
        </a:ln>
      </c:spPr>
      <c:txPr>
        <a:bodyPr/>
        <a:lstStyle/>
        <a:p>
          <a:pPr>
            <a:defRPr sz="1400" b="1" i="0" u="none" strike="noStrike" baseline="0">
              <a:solidFill>
                <a:srgbClr val="0070C0"/>
              </a:solidFill>
              <a:latin typeface="Times New Roman"/>
              <a:ea typeface="Times New Roman"/>
              <a:cs typeface="Times New Roman"/>
            </a:defRPr>
          </a:pPr>
          <a:endParaRPr lang="de-DE"/>
        </a:p>
      </c:txPr>
    </c:title>
    <c:autoTitleDeleted val="0"/>
    <c:plotArea>
      <c:layout>
        <c:manualLayout>
          <c:layoutTarget val="inner"/>
          <c:xMode val="edge"/>
          <c:yMode val="edge"/>
          <c:x val="0.10769248746742699"/>
          <c:y val="0.15000021541850789"/>
          <c:w val="0.87179632711726618"/>
          <c:h val="0.69411864389740907"/>
        </c:manualLayout>
      </c:layout>
      <c:scatterChart>
        <c:scatterStyle val="smoothMarker"/>
        <c:varyColors val="0"/>
        <c:ser>
          <c:idx val="1"/>
          <c:order val="0"/>
          <c:tx>
            <c:strRef>
              <c:f>'Beisp. 2.2.1 bis 2.2.3'!$D$27</c:f>
              <c:strCache>
                <c:ptCount val="1"/>
                <c:pt idx="0">
                  <c:v>exp. Zinsen (Kap. 2.3)</c:v>
                </c:pt>
              </c:strCache>
            </c:strRef>
          </c:tx>
          <c:spPr>
            <a:ln w="12700">
              <a:solidFill>
                <a:srgbClr val="FF00FF"/>
              </a:solidFill>
              <a:prstDash val="solid"/>
            </a:ln>
          </c:spPr>
          <c:marker>
            <c:symbol val="none"/>
          </c:marker>
          <c:xVal>
            <c:numRef>
              <c:f>'Beisp. 2.2.1 bis 2.2.3'!$C$28:$C$38</c:f>
              <c:numCache>
                <c:formatCode>General</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'Beisp. 2.2.1 bis 2.2.3'!$D$28:$D$38</c:f>
              <c:numCache>
                <c:formatCode>General</c:formatCode>
                <c:ptCount val="11"/>
                <c:pt idx="0" formatCode="#,##0.00">
                  <c:v>100</c:v>
                </c:pt>
                <c:pt idx="1">
                  <c:v>115.92740742999999</c:v>
                </c:pt>
                <c:pt idx="2">
                  <c:v>134.39163793441219</c:v>
                </c:pt>
                <c:pt idx="3">
                  <c:v>155.79674166007644</c:v>
                </c:pt>
                <c:pt idx="4">
                  <c:v>180.61112346694134</c:v>
                </c:pt>
                <c:pt idx="5">
                  <c:v>209.37779296542138</c:v>
                </c:pt>
                <c:pt idx="6">
                  <c:v>242.72624711896592</c:v>
                </c:pt>
                <c:pt idx="7">
                  <c:v>281.38624543715224</c:v>
                </c:pt>
                <c:pt idx="8">
                  <c:v>326.20377919990722</c:v>
                </c:pt>
                <c:pt idx="9">
                  <c:v>378.15958416513399</c:v>
                </c:pt>
                <c:pt idx="10">
                  <c:v>438.39060187070862</c:v>
                </c:pt>
              </c:numCache>
            </c:numRef>
          </c:yVal>
          <c:smooth val="1"/>
        </c:ser>
        <c:ser>
          <c:idx val="0"/>
          <c:order val="1"/>
          <c:tx>
            <c:strRef>
              <c:f>'Beisp. 2.2.1 bis 2.2.3'!$B$27</c:f>
              <c:strCache>
                <c:ptCount val="1"/>
                <c:pt idx="0">
                  <c:v>lineare Zinsen</c:v>
                </c:pt>
              </c:strCache>
            </c:strRef>
          </c:tx>
          <c:spPr>
            <a:ln w="31750">
              <a:solidFill>
                <a:srgbClr val="3366FF"/>
              </a:solidFill>
              <a:prstDash val="solid"/>
            </a:ln>
          </c:spPr>
          <c:marker>
            <c:symbol val="square"/>
            <c:size val="5"/>
            <c:spPr>
              <a:solidFill>
                <a:srgbClr val="FFFFFF"/>
              </a:solidFill>
              <a:ln>
                <a:solidFill>
                  <a:srgbClr val="3366FF"/>
                </a:solidFill>
                <a:prstDash val="solid"/>
              </a:ln>
            </c:spPr>
          </c:marker>
          <c:xVal>
            <c:numRef>
              <c:f>'Beisp. 2.2.1 bis 2.2.3'!$A$28:$A$29</c:f>
              <c:numCache>
                <c:formatCode>General</c:formatCode>
                <c:ptCount val="2"/>
                <c:pt idx="0">
                  <c:v>0</c:v>
                </c:pt>
                <c:pt idx="1">
                  <c:v>50</c:v>
                </c:pt>
              </c:numCache>
            </c:numRef>
          </c:xVal>
          <c:yVal>
            <c:numRef>
              <c:f>'Beisp. 2.2.1 bis 2.2.3'!$B$28:$B$29</c:f>
              <c:numCache>
                <c:formatCode>General</c:formatCode>
                <c:ptCount val="2"/>
                <c:pt idx="0">
                  <c:v>100</c:v>
                </c:pt>
                <c:pt idx="1">
                  <c:v>250</c:v>
                </c:pt>
              </c:numCache>
            </c:numRef>
          </c:yVal>
          <c:smooth val="1"/>
        </c:ser>
        <c:dLbls>
          <c:showLegendKey val="0"/>
          <c:showVal val="0"/>
          <c:showCatName val="0"/>
          <c:showSerName val="0"/>
          <c:showPercent val="0"/>
          <c:showBubbleSize val="0"/>
        </c:dLbls>
        <c:axId val="217463552"/>
        <c:axId val="217464128"/>
      </c:scatterChart>
      <c:valAx>
        <c:axId val="217463552"/>
        <c:scaling>
          <c:orientation val="minMax"/>
          <c:max val="51"/>
          <c:min val="0"/>
        </c:scaling>
        <c:delete val="0"/>
        <c:axPos val="b"/>
        <c:majorGridlines>
          <c:spPr>
            <a:ln w="3175">
              <a:solidFill>
                <a:srgbClr val="000000"/>
              </a:solidFill>
              <a:prstDash val="sysDash"/>
            </a:ln>
          </c:spPr>
        </c:majorGridlines>
        <c:title>
          <c:tx>
            <c:rich>
              <a:bodyPr/>
              <a:lstStyle/>
              <a:p>
                <a:pPr>
                  <a:defRPr sz="1000" b="1" i="0" u="none" strike="noStrike" baseline="0">
                    <a:solidFill>
                      <a:srgbClr val="000000"/>
                    </a:solidFill>
                    <a:latin typeface="Times New Roman"/>
                    <a:ea typeface="Times New Roman"/>
                    <a:cs typeface="Times New Roman"/>
                  </a:defRPr>
                </a:pPr>
                <a:r>
                  <a:rPr lang="de-DE"/>
                  <a:t>Jahre</a:t>
                </a:r>
              </a:p>
            </c:rich>
          </c:tx>
          <c:layout>
            <c:manualLayout>
              <c:xMode val="edge"/>
              <c:yMode val="edge"/>
              <c:x val="0.51282136889250951"/>
              <c:y val="0.9205895573724112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de-DE"/>
          </a:p>
        </c:txPr>
        <c:crossAx val="217464128"/>
        <c:crosses val="autoZero"/>
        <c:crossBetween val="midCat"/>
        <c:majorUnit val="10"/>
      </c:valAx>
      <c:valAx>
        <c:axId val="217464128"/>
        <c:scaling>
          <c:orientation val="minMax"/>
        </c:scaling>
        <c:delete val="0"/>
        <c:axPos val="l"/>
        <c:majorGridlines>
          <c:spPr>
            <a:ln w="3175">
              <a:solidFill>
                <a:srgbClr val="000000"/>
              </a:solidFill>
              <a:prstDash val="sysDash"/>
            </a:ln>
          </c:spPr>
        </c:majorGridlines>
        <c:title>
          <c:tx>
            <c:rich>
              <a:bodyPr/>
              <a:lstStyle/>
              <a:p>
                <a:pPr>
                  <a:defRPr sz="1000" b="1" i="0" u="none" strike="noStrike" baseline="0">
                    <a:solidFill>
                      <a:srgbClr val="000000"/>
                    </a:solidFill>
                    <a:latin typeface="Times New Roman"/>
                    <a:ea typeface="Times New Roman"/>
                    <a:cs typeface="Times New Roman"/>
                  </a:defRPr>
                </a:pPr>
                <a:r>
                  <a:rPr lang="de-DE"/>
                  <a:t>Euro</a:t>
                </a:r>
              </a:p>
            </c:rich>
          </c:tx>
          <c:layout>
            <c:manualLayout>
              <c:xMode val="edge"/>
              <c:yMode val="edge"/>
              <c:x val="1.7094045629750317E-2"/>
              <c:y val="0.45294182695000423"/>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de-DE"/>
          </a:p>
        </c:txPr>
        <c:crossAx val="217463552"/>
        <c:crosses val="autoZero"/>
        <c:crossBetween val="midCat"/>
      </c:valAx>
      <c:spPr>
        <a:solidFill>
          <a:srgbClr val="FFFFFF"/>
        </a:solidFill>
        <a:ln w="25400">
          <a:noFill/>
        </a:ln>
      </c:spPr>
    </c:plotArea>
    <c:legend>
      <c:legendPos val="r"/>
      <c:layout>
        <c:manualLayout>
          <c:xMode val="edge"/>
          <c:yMode val="edge"/>
          <c:x val="0.77948843574040427"/>
          <c:y val="0.58921661262930358"/>
          <c:w val="0.19487212017915362"/>
          <c:h val="0.2166669754515979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a:ea typeface="Times New Roman"/>
              <a:cs typeface="Times New Roman"/>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de-DE"/>
    </a:p>
  </c:txPr>
  <c:printSettings>
    <c:headerFooter alignWithMargins="0">
      <c:oddHeader>&amp;B</c:oddHeader>
      <c:oddFooter>Seite &amp;S</c:oddFooter>
    </c:headerFooter>
    <c:pageMargins b="0.984251969" l="0.78740157499999996" r="0.78740157499999996" t="0.984251969" header="0.4921259845" footer="0.492125984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36372191381562E-2"/>
          <c:y val="6.5843886010987382E-2"/>
          <c:w val="0.87636441438602131"/>
          <c:h val="0.7325132318722346"/>
        </c:manualLayout>
      </c:layout>
      <c:barChart>
        <c:barDir val="col"/>
        <c:grouping val="clustered"/>
        <c:varyColors val="0"/>
        <c:ser>
          <c:idx val="0"/>
          <c:order val="0"/>
          <c:spPr>
            <a:noFill/>
            <a:ln w="12700">
              <a:solidFill>
                <a:srgbClr val="000000"/>
              </a:solidFill>
              <a:prstDash val="solid"/>
            </a:ln>
          </c:spPr>
          <c:invertIfNegative val="0"/>
          <c:cat>
            <c:numRef>
              <c:f>'Beisp. 2.3.1 '!$A$32:$A$57</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'Beisp. 2.3.1 '!$B$32:$B$57</c:f>
              <c:numCache>
                <c:formatCode>0.00</c:formatCode>
                <c:ptCount val="26"/>
                <c:pt idx="0">
                  <c:v>200</c:v>
                </c:pt>
                <c:pt idx="1">
                  <c:v>206</c:v>
                </c:pt>
                <c:pt idx="2">
                  <c:v>212.18</c:v>
                </c:pt>
                <c:pt idx="3">
                  <c:v>218.5454</c:v>
                </c:pt>
                <c:pt idx="4">
                  <c:v>225.10176200000001</c:v>
                </c:pt>
                <c:pt idx="5">
                  <c:v>231.85481486</c:v>
                </c:pt>
                <c:pt idx="6">
                  <c:v>238.81045930580001</c:v>
                </c:pt>
                <c:pt idx="7">
                  <c:v>245.974773084974</c:v>
                </c:pt>
                <c:pt idx="8">
                  <c:v>253.35401627752324</c:v>
                </c:pt>
                <c:pt idx="9">
                  <c:v>260.95463676584893</c:v>
                </c:pt>
                <c:pt idx="10">
                  <c:v>268.78327586882443</c:v>
                </c:pt>
                <c:pt idx="11">
                  <c:v>276.8467741448892</c:v>
                </c:pt>
                <c:pt idx="12">
                  <c:v>285.15217736923586</c:v>
                </c:pt>
                <c:pt idx="13">
                  <c:v>293.70674269031292</c:v>
                </c:pt>
                <c:pt idx="14">
                  <c:v>302.5179449710223</c:v>
                </c:pt>
                <c:pt idx="15">
                  <c:v>311.59348332015298</c:v>
                </c:pt>
                <c:pt idx="16">
                  <c:v>320.94128781975758</c:v>
                </c:pt>
                <c:pt idx="17">
                  <c:v>330.5695264543503</c:v>
                </c:pt>
                <c:pt idx="18">
                  <c:v>340.48661224798082</c:v>
                </c:pt>
                <c:pt idx="19">
                  <c:v>350.70121061542022</c:v>
                </c:pt>
                <c:pt idx="20">
                  <c:v>361.22224693388284</c:v>
                </c:pt>
                <c:pt idx="21">
                  <c:v>372.05891434189931</c:v>
                </c:pt>
                <c:pt idx="22">
                  <c:v>383.2206817721563</c:v>
                </c:pt>
                <c:pt idx="23">
                  <c:v>394.71730222532102</c:v>
                </c:pt>
                <c:pt idx="24">
                  <c:v>406.55882129208067</c:v>
                </c:pt>
                <c:pt idx="25">
                  <c:v>418.7555859308431</c:v>
                </c:pt>
              </c:numCache>
            </c:numRef>
          </c:val>
        </c:ser>
        <c:ser>
          <c:idx val="1"/>
          <c:order val="1"/>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'Beisp. 2.3.1 '!$A$32:$A$57</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'Beisp. 2.3.1 '!$C$32:$C$57</c:f>
              <c:numCache>
                <c:formatCode>0.00</c:formatCode>
                <c:ptCount val="26"/>
                <c:pt idx="0">
                  <c:v>200</c:v>
                </c:pt>
                <c:pt idx="1">
                  <c:v>209.76176963403032</c:v>
                </c:pt>
                <c:pt idx="2">
                  <c:v>220.00000000000003</c:v>
                </c:pt>
                <c:pt idx="3">
                  <c:v>230.73794659743339</c:v>
                </c:pt>
                <c:pt idx="4">
                  <c:v>242.00000000000009</c:v>
                </c:pt>
                <c:pt idx="5">
                  <c:v>253.81174125717678</c:v>
                </c:pt>
                <c:pt idx="6">
                  <c:v>266.2000000000001</c:v>
                </c:pt>
                <c:pt idx="7">
                  <c:v>279.19291538289445</c:v>
                </c:pt>
                <c:pt idx="8">
                  <c:v>292.82000000000016</c:v>
                </c:pt>
                <c:pt idx="9">
                  <c:v>307.112206921184</c:v>
                </c:pt>
                <c:pt idx="10">
                  <c:v>322.10200000000026</c:v>
                </c:pt>
                <c:pt idx="11">
                  <c:v>337.82342761330244</c:v>
                </c:pt>
                <c:pt idx="12">
                  <c:v>354.3122000000003</c:v>
                </c:pt>
                <c:pt idx="13">
                  <c:v>371.6057703746327</c:v>
                </c:pt>
                <c:pt idx="14">
                  <c:v>389.74342000000036</c:v>
                </c:pt>
                <c:pt idx="15">
                  <c:v>408.76634741209602</c:v>
                </c:pt>
                <c:pt idx="16">
                  <c:v>428.71776200000045</c:v>
                </c:pt>
                <c:pt idx="17">
                  <c:v>449.6429821533057</c:v>
                </c:pt>
                <c:pt idx="18">
                  <c:v>471.58953820000062</c:v>
                </c:pt>
                <c:pt idx="19">
                  <c:v>494.6072803686364</c:v>
                </c:pt>
                <c:pt idx="20">
                  <c:v>518.74849202000075</c:v>
                </c:pt>
                <c:pt idx="21">
                  <c:v>544.06800840550011</c:v>
                </c:pt>
                <c:pt idx="22">
                  <c:v>570.62334122200093</c:v>
                </c:pt>
                <c:pt idx="23">
                  <c:v>598.4748092460502</c:v>
                </c:pt>
                <c:pt idx="24">
                  <c:v>627.68567534420117</c:v>
                </c:pt>
                <c:pt idx="25">
                  <c:v>658.32229017065538</c:v>
                </c:pt>
              </c:numCache>
            </c:numRef>
          </c:val>
        </c:ser>
        <c:dLbls>
          <c:showLegendKey val="0"/>
          <c:showVal val="0"/>
          <c:showCatName val="0"/>
          <c:showSerName val="0"/>
          <c:showPercent val="0"/>
          <c:showBubbleSize val="0"/>
        </c:dLbls>
        <c:gapWidth val="150"/>
        <c:axId val="217828864"/>
        <c:axId val="217900736"/>
      </c:barChart>
      <c:catAx>
        <c:axId val="21782886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Jahre</a:t>
                </a:r>
              </a:p>
            </c:rich>
          </c:tx>
          <c:layout>
            <c:manualLayout>
              <c:xMode val="edge"/>
              <c:yMode val="edge"/>
              <c:x val="0.50363681075711186"/>
              <c:y val="0.89712294689970307"/>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17900736"/>
        <c:crosses val="autoZero"/>
        <c:auto val="0"/>
        <c:lblAlgn val="ctr"/>
        <c:lblOffset val="100"/>
        <c:tickLblSkip val="1"/>
        <c:tickMarkSkip val="1"/>
        <c:noMultiLvlLbl val="0"/>
      </c:catAx>
      <c:valAx>
        <c:axId val="217900736"/>
        <c:scaling>
          <c:orientation val="minMax"/>
          <c:min val="0"/>
        </c:scaling>
        <c:delete val="0"/>
        <c:axPos val="l"/>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de-DE"/>
                  <a:t>Euro</a:t>
                </a:r>
              </a:p>
            </c:rich>
          </c:tx>
          <c:layout>
            <c:manualLayout>
              <c:xMode val="edge"/>
              <c:yMode val="edge"/>
              <c:x val="9.0909171616807196E-3"/>
              <c:y val="0.37448710168749072"/>
            </c:manualLayout>
          </c:layout>
          <c:overlay val="0"/>
          <c:spPr>
            <a:noFill/>
            <a:ln w="25400">
              <a:noFill/>
            </a:ln>
          </c:spPr>
        </c:title>
        <c:numFmt formatCode="0" sourceLinked="0"/>
        <c:majorTickMark val="cross"/>
        <c:min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17828864"/>
        <c:crosses val="autoZero"/>
        <c:crossBetween val="between"/>
        <c:majorUnit val="100"/>
        <c:minorUnit val="5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984251969" l="0.78740157499999996" r="0.78740157499999996" t="0.984251969" header="0.51181102300000003" footer="0.51181102300000003"/>
    <c:pageSetup paperSize="9" orientation="landscape" horizontalDpi="-4"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337554404394953"/>
          <c:y val="8.6956521739130432E-2"/>
          <c:w val="0.67078458873693392"/>
          <c:h val="0.84615384615384615"/>
        </c:manualLayout>
      </c:layout>
      <c:scatterChart>
        <c:scatterStyle val="smoothMarker"/>
        <c:varyColors val="0"/>
        <c:ser>
          <c:idx val="0"/>
          <c:order val="0"/>
          <c:spPr>
            <a:ln w="12700">
              <a:solidFill>
                <a:srgbClr val="000080"/>
              </a:solidFill>
              <a:prstDash val="solid"/>
            </a:ln>
          </c:spPr>
          <c:marker>
            <c:symbol val="none"/>
          </c:marker>
          <c:xVal>
            <c:numRef>
              <c:f>'Beisp. 2.3.3'!$A$3:$A$19</c:f>
              <c:numCache>
                <c:formatCode>General</c:formatCode>
                <c:ptCount val="17"/>
                <c:pt idx="0">
                  <c:v>0.1</c:v>
                </c:pt>
                <c:pt idx="1">
                  <c:v>0.5</c:v>
                </c:pt>
                <c:pt idx="2">
                  <c:v>1</c:v>
                </c:pt>
                <c:pt idx="3">
                  <c:v>2</c:v>
                </c:pt>
                <c:pt idx="4">
                  <c:v>3</c:v>
                </c:pt>
                <c:pt idx="5">
                  <c:v>4</c:v>
                </c:pt>
                <c:pt idx="6">
                  <c:v>5</c:v>
                </c:pt>
                <c:pt idx="7">
                  <c:v>6</c:v>
                </c:pt>
                <c:pt idx="8">
                  <c:v>8</c:v>
                </c:pt>
                <c:pt idx="9">
                  <c:v>10</c:v>
                </c:pt>
                <c:pt idx="10">
                  <c:v>20</c:v>
                </c:pt>
                <c:pt idx="11">
                  <c:v>25</c:v>
                </c:pt>
                <c:pt idx="12">
                  <c:v>30</c:v>
                </c:pt>
                <c:pt idx="13">
                  <c:v>35</c:v>
                </c:pt>
                <c:pt idx="14">
                  <c:v>40</c:v>
                </c:pt>
                <c:pt idx="15">
                  <c:v>45</c:v>
                </c:pt>
                <c:pt idx="16">
                  <c:v>50</c:v>
                </c:pt>
              </c:numCache>
            </c:numRef>
          </c:xVal>
          <c:yVal>
            <c:numRef>
              <c:f>'Beisp. 2.3.3'!$E$3:$E$19</c:f>
              <c:numCache>
                <c:formatCode>0.000</c:formatCode>
                <c:ptCount val="17"/>
                <c:pt idx="0">
                  <c:v>6.5063035831005891</c:v>
                </c:pt>
                <c:pt idx="1">
                  <c:v>1.0242783893032765</c:v>
                </c:pt>
                <c:pt idx="2">
                  <c:v>0.3392831064251709</c:v>
                </c:pt>
                <c:pt idx="3">
                  <c:v>-2.7887811464992751E-3</c:v>
                </c:pt>
                <c:pt idx="4">
                  <c:v>-0.11643891710440357</c:v>
                </c:pt>
                <c:pt idx="5">
                  <c:v>-0.17298768512969787</c:v>
                </c:pt>
                <c:pt idx="6">
                  <c:v>-0.20669908289046113</c:v>
                </c:pt>
                <c:pt idx="7">
                  <c:v>-0.22899437927520871</c:v>
                </c:pt>
                <c:pt idx="8">
                  <c:v>-0.25646834200058777</c:v>
                </c:pt>
                <c:pt idx="9">
                  <c:v>-0.27254089734171316</c:v>
                </c:pt>
                <c:pt idx="10">
                  <c:v>-0.30178401692393075</c:v>
                </c:pt>
                <c:pt idx="11">
                  <c:v>-0.30628371950539002</c:v>
                </c:pt>
                <c:pt idx="12">
                  <c:v>-0.30859346247780683</c:v>
                </c:pt>
                <c:pt idx="13">
                  <c:v>-0.30968534969903372</c:v>
                </c:pt>
                <c:pt idx="14">
                  <c:v>-0.31004271710614528</c:v>
                </c:pt>
                <c:pt idx="15">
                  <c:v>-0.30993197291764485</c:v>
                </c:pt>
                <c:pt idx="16">
                  <c:v>-0.30951129135145483</c:v>
                </c:pt>
              </c:numCache>
            </c:numRef>
          </c:yVal>
          <c:smooth val="1"/>
        </c:ser>
        <c:dLbls>
          <c:showLegendKey val="0"/>
          <c:showVal val="0"/>
          <c:showCatName val="0"/>
          <c:showSerName val="0"/>
          <c:showPercent val="0"/>
          <c:showBubbleSize val="0"/>
        </c:dLbls>
        <c:axId val="217902464"/>
        <c:axId val="217903040"/>
      </c:scatterChart>
      <c:valAx>
        <c:axId val="217902464"/>
        <c:scaling>
          <c:orientation val="minMax"/>
          <c:max val="30"/>
        </c:scaling>
        <c:delete val="0"/>
        <c:axPos val="b"/>
        <c:title>
          <c:tx>
            <c:rich>
              <a:bodyPr/>
              <a:lstStyle/>
              <a:p>
                <a:pPr>
                  <a:defRPr sz="800" b="1" i="0" u="none" strike="noStrike" baseline="0">
                    <a:solidFill>
                      <a:srgbClr val="000000"/>
                    </a:solidFill>
                    <a:latin typeface="Times New Roman"/>
                    <a:ea typeface="Times New Roman"/>
                    <a:cs typeface="Times New Roman"/>
                  </a:defRPr>
                </a:pPr>
                <a:r>
                  <a:rPr lang="de-DE"/>
                  <a:t>p</a:t>
                </a:r>
              </a:p>
            </c:rich>
          </c:tx>
          <c:layout>
            <c:manualLayout>
              <c:xMode val="edge"/>
              <c:yMode val="edge"/>
              <c:x val="0.93827549334111016"/>
              <c:y val="0.76031215161649945"/>
            </c:manualLayout>
          </c:layout>
          <c:overlay val="0"/>
          <c:spPr>
            <a:noFill/>
            <a:ln w="25400">
              <a:noFill/>
            </a:ln>
          </c:spPr>
        </c:title>
        <c:numFmt formatCode="#,##0_ ;[Red]\-#,##0;&quot;&quot;" sourceLinked="0"/>
        <c:majorTickMark val="cross"/>
        <c:min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de-DE"/>
          </a:p>
        </c:txPr>
        <c:crossAx val="217903040"/>
        <c:crosses val="autoZero"/>
        <c:crossBetween val="midCat"/>
        <c:majorUnit val="10"/>
        <c:minorUnit val="1"/>
      </c:valAx>
      <c:valAx>
        <c:axId val="217903040"/>
        <c:scaling>
          <c:orientation val="minMax"/>
          <c:max val="6"/>
        </c:scaling>
        <c:delete val="0"/>
        <c:axPos val="l"/>
        <c:title>
          <c:tx>
            <c:rich>
              <a:bodyPr/>
              <a:lstStyle/>
              <a:p>
                <a:pPr>
                  <a:defRPr sz="1000" b="1" i="0" u="none" strike="noStrike" baseline="0">
                    <a:solidFill>
                      <a:srgbClr val="000000"/>
                    </a:solidFill>
                    <a:latin typeface="Times New Roman"/>
                    <a:ea typeface="Times New Roman"/>
                    <a:cs typeface="Times New Roman"/>
                  </a:defRPr>
                </a:pPr>
                <a:r>
                  <a:rPr lang="de-DE"/>
                  <a:t>absoluter Fehler</a:t>
                </a:r>
              </a:p>
            </c:rich>
          </c:tx>
          <c:layout>
            <c:manualLayout>
              <c:xMode val="edge"/>
              <c:yMode val="edge"/>
              <c:x val="4.1152428756867108E-2"/>
              <c:y val="0.31103678929765888"/>
            </c:manualLayout>
          </c:layout>
          <c:overlay val="0"/>
          <c:spPr>
            <a:noFill/>
            <a:ln w="25400">
              <a:noFill/>
            </a:ln>
          </c:spPr>
        </c:title>
        <c:numFmt formatCode="0.0" sourceLinked="0"/>
        <c:majorTickMark val="cross"/>
        <c:min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de-DE"/>
          </a:p>
        </c:txPr>
        <c:crossAx val="217902464"/>
        <c:crosses val="autoZero"/>
        <c:crossBetween val="midCat"/>
        <c:minorUnit val="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de-DE"/>
    </a:p>
  </c:txPr>
  <c:printSettings>
    <c:headerFooter alignWithMargins="0">
      <c:oddHeader>&amp;B</c:oddHeader>
      <c:oddFooter>Seite &amp;S</c:oddFooter>
    </c:headerFooter>
    <c:pageMargins b="0.984251969" l="0.78740157499999996" r="0.78740157499999996" t="0.984251969" header="0.4921259845" footer="0.4921259845"/>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720700596020597"/>
          <c:y val="8.6666948785640574E-2"/>
          <c:w val="0.6842118788981032"/>
          <c:h val="0.86333614367234268"/>
        </c:manualLayout>
      </c:layout>
      <c:scatterChart>
        <c:scatterStyle val="smoothMarker"/>
        <c:varyColors val="0"/>
        <c:ser>
          <c:idx val="0"/>
          <c:order val="0"/>
          <c:spPr>
            <a:ln w="12700">
              <a:solidFill>
                <a:srgbClr val="000080"/>
              </a:solidFill>
              <a:prstDash val="solid"/>
            </a:ln>
          </c:spPr>
          <c:marker>
            <c:symbol val="none"/>
          </c:marker>
          <c:xVal>
            <c:numRef>
              <c:f>'Beisp. 2.3.3'!$A$3:$A$19</c:f>
              <c:numCache>
                <c:formatCode>General</c:formatCode>
                <c:ptCount val="17"/>
                <c:pt idx="0">
                  <c:v>0.1</c:v>
                </c:pt>
                <c:pt idx="1">
                  <c:v>0.5</c:v>
                </c:pt>
                <c:pt idx="2">
                  <c:v>1</c:v>
                </c:pt>
                <c:pt idx="3">
                  <c:v>2</c:v>
                </c:pt>
                <c:pt idx="4">
                  <c:v>3</c:v>
                </c:pt>
                <c:pt idx="5">
                  <c:v>4</c:v>
                </c:pt>
                <c:pt idx="6">
                  <c:v>5</c:v>
                </c:pt>
                <c:pt idx="7">
                  <c:v>6</c:v>
                </c:pt>
                <c:pt idx="8">
                  <c:v>8</c:v>
                </c:pt>
                <c:pt idx="9">
                  <c:v>10</c:v>
                </c:pt>
                <c:pt idx="10">
                  <c:v>20</c:v>
                </c:pt>
                <c:pt idx="11">
                  <c:v>25</c:v>
                </c:pt>
                <c:pt idx="12">
                  <c:v>30</c:v>
                </c:pt>
                <c:pt idx="13">
                  <c:v>35</c:v>
                </c:pt>
                <c:pt idx="14">
                  <c:v>40</c:v>
                </c:pt>
                <c:pt idx="15">
                  <c:v>45</c:v>
                </c:pt>
                <c:pt idx="16">
                  <c:v>50</c:v>
                </c:pt>
              </c:numCache>
            </c:numRef>
          </c:xVal>
          <c:yVal>
            <c:numRef>
              <c:f>'Beisp. 2.3.3'!$F$3:$F$19</c:f>
              <c:numCache>
                <c:formatCode>0.00%</c:formatCode>
                <c:ptCount val="17"/>
                <c:pt idx="0">
                  <c:v>9.381921734425213E-3</c:v>
                </c:pt>
                <c:pt idx="1">
                  <c:v>7.3701965885272979E-3</c:v>
                </c:pt>
                <c:pt idx="2">
                  <c:v>4.8705083949037676E-3</c:v>
                </c:pt>
                <c:pt idx="3">
                  <c:v>-7.9673113017823095E-5</c:v>
                </c:pt>
                <c:pt idx="4">
                  <c:v>-4.9654604684798171E-3</c:v>
                </c:pt>
                <c:pt idx="5">
                  <c:v>-9.7882535885685101E-3</c:v>
                </c:pt>
                <c:pt idx="6">
                  <c:v>-1.4549409520427924E-2</c:v>
                </c:pt>
                <c:pt idx="7">
                  <c:v>-1.9250244134463516E-2</c:v>
                </c:pt>
                <c:pt idx="8">
                  <c:v>-2.8476016598490479E-2</c:v>
                </c:pt>
                <c:pt idx="9">
                  <c:v>-3.7475333750454858E-2</c:v>
                </c:pt>
                <c:pt idx="10">
                  <c:v>-7.9379579581721704E-2</c:v>
                </c:pt>
                <c:pt idx="11">
                  <c:v>-9.8601334315385467E-2</c:v>
                </c:pt>
                <c:pt idx="12">
                  <c:v>-0.11680621240796364</c:v>
                </c:pt>
                <c:pt idx="13">
                  <c:v>-0.13408118544778735</c:v>
                </c:pt>
                <c:pt idx="14">
                  <c:v>-0.15050305245207693</c:v>
                </c:pt>
                <c:pt idx="15">
                  <c:v>-0.16613993295967366</c:v>
                </c:pt>
                <c:pt idx="16">
                  <c:v>-0.18105249899038139</c:v>
                </c:pt>
              </c:numCache>
            </c:numRef>
          </c:yVal>
          <c:smooth val="1"/>
        </c:ser>
        <c:dLbls>
          <c:showLegendKey val="0"/>
          <c:showVal val="0"/>
          <c:showCatName val="0"/>
          <c:showSerName val="0"/>
          <c:showPercent val="0"/>
          <c:showBubbleSize val="0"/>
        </c:dLbls>
        <c:axId val="217904768"/>
        <c:axId val="217905344"/>
      </c:scatterChart>
      <c:valAx>
        <c:axId val="217904768"/>
        <c:scaling>
          <c:orientation val="minMax"/>
          <c:max val="10"/>
        </c:scaling>
        <c:delete val="0"/>
        <c:axPos val="b"/>
        <c:title>
          <c:tx>
            <c:rich>
              <a:bodyPr/>
              <a:lstStyle/>
              <a:p>
                <a:pPr>
                  <a:defRPr sz="800" b="1" i="0" u="none" strike="noStrike" baseline="0">
                    <a:solidFill>
                      <a:srgbClr val="000000"/>
                    </a:solidFill>
                    <a:latin typeface="Times New Roman"/>
                    <a:ea typeface="Times New Roman"/>
                    <a:cs typeface="Times New Roman"/>
                  </a:defRPr>
                </a:pPr>
                <a:r>
                  <a:rPr lang="de-DE"/>
                  <a:t>p</a:t>
                </a:r>
              </a:p>
            </c:rich>
          </c:tx>
          <c:layout>
            <c:manualLayout>
              <c:xMode val="edge"/>
              <c:yMode val="edge"/>
              <c:x val="0.93522452086072094"/>
              <c:y val="0.34333445095849924"/>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de-DE"/>
          </a:p>
        </c:txPr>
        <c:crossAx val="217905344"/>
        <c:crosses val="autoZero"/>
        <c:crossBetween val="midCat"/>
        <c:majorUnit val="2"/>
      </c:valAx>
      <c:valAx>
        <c:axId val="217905344"/>
        <c:scaling>
          <c:orientation val="minMax"/>
          <c:max val="0.01"/>
          <c:min val="-0.04"/>
        </c:scaling>
        <c:delete val="0"/>
        <c:axPos val="l"/>
        <c:title>
          <c:tx>
            <c:rich>
              <a:bodyPr/>
              <a:lstStyle/>
              <a:p>
                <a:pPr>
                  <a:defRPr sz="1000" b="1" i="0" u="none" strike="noStrike" baseline="0">
                    <a:solidFill>
                      <a:srgbClr val="000000"/>
                    </a:solidFill>
                    <a:latin typeface="Times New Roman"/>
                    <a:ea typeface="Times New Roman"/>
                    <a:cs typeface="Times New Roman"/>
                  </a:defRPr>
                </a:pPr>
                <a:r>
                  <a:rPr lang="de-DE"/>
                  <a:t>relativer Fehler</a:t>
                </a:r>
              </a:p>
            </c:rich>
          </c:tx>
          <c:layout>
            <c:manualLayout>
              <c:xMode val="edge"/>
              <c:yMode val="edge"/>
              <c:x val="4.0485909993970608E-2"/>
              <c:y val="0.3666678602469409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de-DE"/>
          </a:p>
        </c:txPr>
        <c:crossAx val="217904768"/>
        <c:crosses val="autoZero"/>
        <c:crossBetween val="midCat"/>
        <c:majorUnit val="0.0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de-DE"/>
    </a:p>
  </c:txPr>
  <c:printSettings>
    <c:headerFooter alignWithMargins="0">
      <c:oddHeader>&amp;B</c:oddHeader>
      <c:oddFooter>Seite &amp;S</c:oddFooter>
    </c:headerFooter>
    <c:pageMargins b="0.984251969" l="0.78740157499999996" r="0.78740157499999996" t="0.984251969" header="0.4921259845" footer="0.492125984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de-DE"/>
              <a:t>Endkapital in Euro</a:t>
            </a:r>
          </a:p>
        </c:rich>
      </c:tx>
      <c:layout>
        <c:manualLayout>
          <c:xMode val="edge"/>
          <c:yMode val="edge"/>
          <c:x val="0.27896995708154504"/>
          <c:y val="3.4482855386963975E-2"/>
        </c:manualLayout>
      </c:layout>
      <c:overlay val="0"/>
      <c:spPr>
        <a:noFill/>
        <a:ln w="25400">
          <a:noFill/>
        </a:ln>
      </c:spPr>
    </c:title>
    <c:autoTitleDeleted val="0"/>
    <c:plotArea>
      <c:layout>
        <c:manualLayout>
          <c:layoutTarget val="inner"/>
          <c:xMode val="edge"/>
          <c:yMode val="edge"/>
          <c:x val="0.17596566523605151"/>
          <c:y val="4.5977140515951968E-2"/>
          <c:w val="0.75536480686695284"/>
          <c:h val="0.80459995902915948"/>
        </c:manualLayout>
      </c:layout>
      <c:scatterChart>
        <c:scatterStyle val="smoothMarker"/>
        <c:varyColors val="0"/>
        <c:ser>
          <c:idx val="0"/>
          <c:order val="0"/>
          <c:tx>
            <c:strRef>
              <c:f>'Beisp. 2.8.1 u. Abb. 2.8.2'!$G$9</c:f>
              <c:strCache>
                <c:ptCount val="1"/>
                <c:pt idx="0">
                  <c:v>stetig</c:v>
                </c:pt>
              </c:strCache>
            </c:strRef>
          </c:tx>
          <c:spPr>
            <a:ln w="25400">
              <a:solidFill>
                <a:srgbClr val="000080"/>
              </a:solidFill>
              <a:prstDash val="solid"/>
            </a:ln>
          </c:spPr>
          <c:marker>
            <c:symbol val="none"/>
          </c:marker>
          <c:xVal>
            <c:numRef>
              <c:f>'Beisp. 2.8.1 u. Abb. 2.8.2'!$F$10:$F$50</c:f>
              <c:numCache>
                <c:formatCode>General</c:formatCode>
                <c:ptCount val="4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numCache>
            </c:numRef>
          </c:xVal>
          <c:yVal>
            <c:numRef>
              <c:f>'Beisp. 2.8.1 u. Abb. 2.8.2'!$G$10:$G$50</c:f>
              <c:numCache>
                <c:formatCode>General</c:formatCode>
                <c:ptCount val="41"/>
                <c:pt idx="0" formatCode="0.00">
                  <c:v>100</c:v>
                </c:pt>
                <c:pt idx="1">
                  <c:v>103.56197087996233</c:v>
                </c:pt>
                <c:pt idx="2">
                  <c:v>107.25081812542166</c:v>
                </c:pt>
                <c:pt idx="3">
                  <c:v>111.07106103557052</c:v>
                </c:pt>
                <c:pt idx="4">
                  <c:v>115.02737988572274</c:v>
                </c:pt>
                <c:pt idx="5">
                  <c:v>119.12462166123581</c:v>
                </c:pt>
                <c:pt idx="6">
                  <c:v>123.36780599567432</c:v>
                </c:pt>
                <c:pt idx="7">
                  <c:v>127.76213132048866</c:v>
                </c:pt>
                <c:pt idx="8">
                  <c:v>132.3129812337437</c:v>
                </c:pt>
                <c:pt idx="9">
                  <c:v>137.02593109569966</c:v>
                </c:pt>
                <c:pt idx="10">
                  <c:v>141.90675485932573</c:v>
                </c:pt>
                <c:pt idx="11">
                  <c:v>146.96143214411444</c:v>
                </c:pt>
                <c:pt idx="12">
                  <c:v>152.19615556186338</c:v>
                </c:pt>
                <c:pt idx="13">
                  <c:v>157.61733830339912</c:v>
                </c:pt>
                <c:pt idx="14">
                  <c:v>163.23162199553792</c:v>
                </c:pt>
                <c:pt idx="15">
                  <c:v>169.04588483790914</c:v>
                </c:pt>
                <c:pt idx="16">
                  <c:v>175.06725002961014</c:v>
                </c:pt>
                <c:pt idx="17">
                  <c:v>181.30309449601566</c:v>
                </c:pt>
                <c:pt idx="18">
                  <c:v>187.76105792643435</c:v>
                </c:pt>
                <c:pt idx="19">
                  <c:v>194.4490521336831</c:v>
                </c:pt>
                <c:pt idx="20">
                  <c:v>201.37527074704767</c:v>
                </c:pt>
                <c:pt idx="21">
                  <c:v>208.54819925050282</c:v>
                </c:pt>
                <c:pt idx="22">
                  <c:v>215.97662537849152</c:v>
                </c:pt>
                <c:pt idx="23">
                  <c:v>223.66964988199868</c:v>
                </c:pt>
                <c:pt idx="24">
                  <c:v>231.63669767810919</c:v>
                </c:pt>
                <c:pt idx="25">
                  <c:v>239.88752939670979</c:v>
                </c:pt>
                <c:pt idx="26">
                  <c:v>248.4322533384817</c:v>
                </c:pt>
                <c:pt idx="27">
                  <c:v>257.28133785883261</c:v>
                </c:pt>
                <c:pt idx="28">
                  <c:v>266.44562419294175</c:v>
                </c:pt>
                <c:pt idx="29">
                  <c:v>275.93633973762815</c:v>
                </c:pt>
                <c:pt idx="30">
                  <c:v>285.76511180631638</c:v>
                </c:pt>
                <c:pt idx="31">
                  <c:v>295.94398187394921</c:v>
                </c:pt>
                <c:pt idx="32">
                  <c:v>306.48542032930027</c:v>
                </c:pt>
                <c:pt idx="33">
                  <c:v>317.40234175275998</c:v>
                </c:pt>
                <c:pt idx="34">
                  <c:v>328.70812073831189</c:v>
                </c:pt>
                <c:pt idx="35">
                  <c:v>340.41660827908191</c:v>
                </c:pt>
                <c:pt idx="36">
                  <c:v>352.54214873653831</c:v>
                </c:pt>
                <c:pt idx="37">
                  <c:v>365.09959741412723</c:v>
                </c:pt>
                <c:pt idx="38">
                  <c:v>378.10433875687812</c:v>
                </c:pt>
                <c:pt idx="39">
                  <c:v>391.57230519927225</c:v>
                </c:pt>
                <c:pt idx="40">
                  <c:v>405.51999668446751</c:v>
                </c:pt>
              </c:numCache>
            </c:numRef>
          </c:yVal>
          <c:smooth val="1"/>
        </c:ser>
        <c:ser>
          <c:idx val="1"/>
          <c:order val="1"/>
          <c:tx>
            <c:strRef>
              <c:f>'Beisp. 2.8.1 u. Abb. 2.8.2'!$H$9</c:f>
              <c:strCache>
                <c:ptCount val="1"/>
                <c:pt idx="0">
                  <c:v>exp.</c:v>
                </c:pt>
              </c:strCache>
            </c:strRef>
          </c:tx>
          <c:spPr>
            <a:ln w="12700">
              <a:solidFill>
                <a:srgbClr val="000000"/>
              </a:solidFill>
              <a:prstDash val="solid"/>
            </a:ln>
          </c:spPr>
          <c:marker>
            <c:symbol val="none"/>
          </c:marker>
          <c:xVal>
            <c:numRef>
              <c:f>'Beisp. 2.8.1 u. Abb. 2.8.2'!$F$10:$F$50</c:f>
              <c:numCache>
                <c:formatCode>General</c:formatCode>
                <c:ptCount val="4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numCache>
            </c:numRef>
          </c:xVal>
          <c:yVal>
            <c:numRef>
              <c:f>'Beisp. 2.8.1 u. Abb. 2.8.2'!$H$10:$H$50</c:f>
              <c:numCache>
                <c:formatCode>General</c:formatCode>
                <c:ptCount val="41"/>
                <c:pt idx="0" formatCode="0.00">
                  <c:v>100</c:v>
                </c:pt>
                <c:pt idx="1">
                  <c:v>103.440804327886</c:v>
                </c:pt>
                <c:pt idx="2">
                  <c:v>107</c:v>
                </c:pt>
                <c:pt idx="3">
                  <c:v>110.68166063083804</c:v>
                </c:pt>
                <c:pt idx="4">
                  <c:v>114.49000000000001</c:v>
                </c:pt>
                <c:pt idx="5">
                  <c:v>118.42937687499671</c:v>
                </c:pt>
                <c:pt idx="6">
                  <c:v>122.50430000000001</c:v>
                </c:pt>
                <c:pt idx="7">
                  <c:v>126.71943325624649</c:v>
                </c:pt>
                <c:pt idx="8">
                  <c:v>131.079601</c:v>
                </c:pt>
                <c:pt idx="9">
                  <c:v>135.58979358418375</c:v>
                </c:pt>
                <c:pt idx="10">
                  <c:v>140.25517307000001</c:v>
                </c:pt>
                <c:pt idx="11">
                  <c:v>145.08107913507661</c:v>
                </c:pt>
                <c:pt idx="12">
                  <c:v>150.07303518489999</c:v>
                </c:pt>
                <c:pt idx="13">
                  <c:v>155.23675467453199</c:v>
                </c:pt>
                <c:pt idx="14">
                  <c:v>160.57814764784302</c:v>
                </c:pt>
                <c:pt idx="15">
                  <c:v>166.10332750174922</c:v>
                </c:pt>
                <c:pt idx="16">
                  <c:v>171.81861798319201</c:v>
                </c:pt>
                <c:pt idx="17">
                  <c:v>177.7305604268717</c:v>
                </c:pt>
                <c:pt idx="18">
                  <c:v>183.84592124201549</c:v>
                </c:pt>
                <c:pt idx="19">
                  <c:v>190.17169965675271</c:v>
                </c:pt>
                <c:pt idx="20">
                  <c:v>196.71513572895657</c:v>
                </c:pt>
                <c:pt idx="21">
                  <c:v>203.48371863272541</c:v>
                </c:pt>
                <c:pt idx="22">
                  <c:v>210.48519522998356</c:v>
                </c:pt>
                <c:pt idx="23">
                  <c:v>217.7275789370162</c:v>
                </c:pt>
                <c:pt idx="24">
                  <c:v>225.21915889608235</c:v>
                </c:pt>
                <c:pt idx="25">
                  <c:v>232.96850946260736</c:v>
                </c:pt>
                <c:pt idx="26">
                  <c:v>240.98450001880815</c:v>
                </c:pt>
                <c:pt idx="27">
                  <c:v>249.2763051249899</c:v>
                </c:pt>
                <c:pt idx="28">
                  <c:v>257.85341502012471</c:v>
                </c:pt>
                <c:pt idx="29">
                  <c:v>266.72564648373924</c:v>
                </c:pt>
                <c:pt idx="30">
                  <c:v>275.90315407153344</c:v>
                </c:pt>
                <c:pt idx="31">
                  <c:v>285.39644173760098</c:v>
                </c:pt>
                <c:pt idx="32">
                  <c:v>295.21637485654077</c:v>
                </c:pt>
                <c:pt idx="33">
                  <c:v>305.37419265923302</c:v>
                </c:pt>
                <c:pt idx="34">
                  <c:v>315.8815210964986</c:v>
                </c:pt>
                <c:pt idx="35">
                  <c:v>326.75038614537937</c:v>
                </c:pt>
                <c:pt idx="36">
                  <c:v>337.99322757325353</c:v>
                </c:pt>
                <c:pt idx="37">
                  <c:v>349.62291317555594</c:v>
                </c:pt>
                <c:pt idx="38">
                  <c:v>361.65275350338129</c:v>
                </c:pt>
                <c:pt idx="39">
                  <c:v>374.09651709784487</c:v>
                </c:pt>
                <c:pt idx="40">
                  <c:v>386.96844624861797</c:v>
                </c:pt>
              </c:numCache>
            </c:numRef>
          </c:yVal>
          <c:smooth val="1"/>
        </c:ser>
        <c:ser>
          <c:idx val="2"/>
          <c:order val="2"/>
          <c:tx>
            <c:strRef>
              <c:f>'Beisp. 2.8.1 u. Abb. 2.8.2'!$I$9</c:f>
              <c:strCache>
                <c:ptCount val="1"/>
                <c:pt idx="0">
                  <c:v>linear</c:v>
                </c:pt>
              </c:strCache>
            </c:strRef>
          </c:tx>
          <c:spPr>
            <a:ln w="12700">
              <a:solidFill>
                <a:srgbClr val="000000"/>
              </a:solidFill>
              <a:prstDash val="sysDash"/>
            </a:ln>
          </c:spPr>
          <c:marker>
            <c:symbol val="none"/>
          </c:marker>
          <c:xVal>
            <c:numRef>
              <c:f>'Beisp. 2.8.1 u. Abb. 2.8.2'!$F$10:$F$50</c:f>
              <c:numCache>
                <c:formatCode>General</c:formatCode>
                <c:ptCount val="4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numCache>
            </c:numRef>
          </c:xVal>
          <c:yVal>
            <c:numRef>
              <c:f>'Beisp. 2.8.1 u. Abb. 2.8.2'!$I$10:$I$50</c:f>
              <c:numCache>
                <c:formatCode>General</c:formatCode>
                <c:ptCount val="41"/>
                <c:pt idx="0" formatCode="0.00">
                  <c:v>100</c:v>
                </c:pt>
                <c:pt idx="1">
                  <c:v>103.49999999999999</c:v>
                </c:pt>
                <c:pt idx="2">
                  <c:v>107</c:v>
                </c:pt>
                <c:pt idx="3">
                  <c:v>110.5</c:v>
                </c:pt>
                <c:pt idx="4">
                  <c:v>114.00000000000001</c:v>
                </c:pt>
                <c:pt idx="5">
                  <c:v>117.5</c:v>
                </c:pt>
                <c:pt idx="6">
                  <c:v>121</c:v>
                </c:pt>
                <c:pt idx="7">
                  <c:v>124.50000000000001</c:v>
                </c:pt>
                <c:pt idx="8">
                  <c:v>128</c:v>
                </c:pt>
                <c:pt idx="9">
                  <c:v>131.5</c:v>
                </c:pt>
                <c:pt idx="10">
                  <c:v>135</c:v>
                </c:pt>
                <c:pt idx="11">
                  <c:v>138.5</c:v>
                </c:pt>
                <c:pt idx="12">
                  <c:v>142</c:v>
                </c:pt>
                <c:pt idx="13">
                  <c:v>145.5</c:v>
                </c:pt>
                <c:pt idx="14">
                  <c:v>149</c:v>
                </c:pt>
                <c:pt idx="15">
                  <c:v>152.5</c:v>
                </c:pt>
                <c:pt idx="16">
                  <c:v>156</c:v>
                </c:pt>
                <c:pt idx="17">
                  <c:v>159.50000000000003</c:v>
                </c:pt>
                <c:pt idx="18">
                  <c:v>163</c:v>
                </c:pt>
                <c:pt idx="19">
                  <c:v>166.5</c:v>
                </c:pt>
                <c:pt idx="20">
                  <c:v>170.00000000000003</c:v>
                </c:pt>
                <c:pt idx="21">
                  <c:v>173.5</c:v>
                </c:pt>
                <c:pt idx="22">
                  <c:v>177</c:v>
                </c:pt>
                <c:pt idx="23">
                  <c:v>180.50000000000003</c:v>
                </c:pt>
                <c:pt idx="24">
                  <c:v>184</c:v>
                </c:pt>
                <c:pt idx="25">
                  <c:v>187.5</c:v>
                </c:pt>
                <c:pt idx="26">
                  <c:v>191</c:v>
                </c:pt>
                <c:pt idx="27">
                  <c:v>194.5</c:v>
                </c:pt>
                <c:pt idx="28">
                  <c:v>198</c:v>
                </c:pt>
                <c:pt idx="29">
                  <c:v>201.5</c:v>
                </c:pt>
                <c:pt idx="30">
                  <c:v>204.99999999999997</c:v>
                </c:pt>
                <c:pt idx="31">
                  <c:v>208.5</c:v>
                </c:pt>
                <c:pt idx="32">
                  <c:v>212</c:v>
                </c:pt>
                <c:pt idx="33">
                  <c:v>215.50000000000003</c:v>
                </c:pt>
                <c:pt idx="34">
                  <c:v>219.00000000000003</c:v>
                </c:pt>
                <c:pt idx="35">
                  <c:v>222.5</c:v>
                </c:pt>
                <c:pt idx="36">
                  <c:v>226.00000000000003</c:v>
                </c:pt>
                <c:pt idx="37">
                  <c:v>229.5</c:v>
                </c:pt>
                <c:pt idx="38">
                  <c:v>233</c:v>
                </c:pt>
                <c:pt idx="39">
                  <c:v>236.50000000000003</c:v>
                </c:pt>
                <c:pt idx="40">
                  <c:v>240.00000000000003</c:v>
                </c:pt>
              </c:numCache>
            </c:numRef>
          </c:yVal>
          <c:smooth val="1"/>
        </c:ser>
        <c:dLbls>
          <c:showLegendKey val="0"/>
          <c:showVal val="0"/>
          <c:showCatName val="0"/>
          <c:showSerName val="0"/>
          <c:showPercent val="0"/>
          <c:showBubbleSize val="0"/>
        </c:dLbls>
        <c:axId val="218136576"/>
        <c:axId val="218137152"/>
      </c:scatterChart>
      <c:valAx>
        <c:axId val="218136576"/>
        <c:scaling>
          <c:orientation val="minMax"/>
          <c:max val="20.9"/>
          <c:min val="0"/>
        </c:scaling>
        <c:delete val="0"/>
        <c:axPos val="b"/>
        <c:title>
          <c:tx>
            <c:rich>
              <a:bodyPr/>
              <a:lstStyle/>
              <a:p>
                <a:pPr>
                  <a:defRPr sz="900" b="1" i="0" u="none" strike="noStrike" baseline="0">
                    <a:solidFill>
                      <a:srgbClr val="000000"/>
                    </a:solidFill>
                    <a:latin typeface="Times New Roman"/>
                    <a:ea typeface="Times New Roman"/>
                    <a:cs typeface="Times New Roman"/>
                  </a:defRPr>
                </a:pPr>
                <a:r>
                  <a:rPr lang="de-DE"/>
                  <a:t>Jahre</a:t>
                </a:r>
              </a:p>
            </c:rich>
          </c:tx>
          <c:layout>
            <c:manualLayout>
              <c:xMode val="edge"/>
              <c:yMode val="edge"/>
              <c:x val="0.48068669527896996"/>
              <c:y val="0.92528995288353333"/>
            </c:manualLayout>
          </c:layout>
          <c:overlay val="0"/>
          <c:spPr>
            <a:noFill/>
            <a:ln w="25400">
              <a:noFill/>
            </a:ln>
          </c:spPr>
        </c:title>
        <c:numFmt formatCode="General" sourceLinked="1"/>
        <c:majorTickMark val="cross"/>
        <c:min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de-DE"/>
          </a:p>
        </c:txPr>
        <c:crossAx val="218137152"/>
        <c:crosses val="autoZero"/>
        <c:crossBetween val="midCat"/>
        <c:majorUnit val="5"/>
      </c:valAx>
      <c:valAx>
        <c:axId val="218137152"/>
        <c:scaling>
          <c:orientation val="minMax"/>
          <c:max val="430"/>
          <c:min val="0"/>
        </c:scaling>
        <c:delete val="0"/>
        <c:axPos val="l"/>
        <c:numFmt formatCode="0" sourceLinked="0"/>
        <c:majorTickMark val="cross"/>
        <c:min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de-DE"/>
          </a:p>
        </c:txPr>
        <c:crossAx val="218136576"/>
        <c:crosses val="autoZero"/>
        <c:crossBetween val="midCat"/>
        <c:minorUnit val="25"/>
      </c:valAx>
      <c:spPr>
        <a:noFill/>
        <a:ln w="25400">
          <a:noFill/>
        </a:ln>
      </c:spPr>
    </c:plotArea>
    <c:legend>
      <c:legendPos val="r"/>
      <c:layout>
        <c:manualLayout>
          <c:xMode val="edge"/>
          <c:yMode val="edge"/>
          <c:x val="0.55364806866952787"/>
          <c:y val="0.60344996927186956"/>
          <c:w val="0.33047210300429186"/>
          <c:h val="0.16666713437032588"/>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de-DE"/>
    </a:p>
  </c:txPr>
  <c:printSettings>
    <c:headerFooter alignWithMargins="0">
      <c:oddHeader>&amp;B</c:oddHeader>
      <c:oddFooter>Seite &amp;S</c:oddFooter>
    </c:headerFooter>
    <c:pageMargins b="0.984251969" l="0.78740157499999996" r="0.78740157499999996" t="0.984251969" header="0.4921259845" footer="0.4921259845"/>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839940306836391"/>
          <c:y val="5.1724283080445965E-2"/>
          <c:w val="0.65368241715037012"/>
          <c:h val="0.79597924518241847"/>
        </c:manualLayout>
      </c:layout>
      <c:scatterChart>
        <c:scatterStyle val="lineMarker"/>
        <c:varyColors val="0"/>
        <c:ser>
          <c:idx val="0"/>
          <c:order val="0"/>
          <c:tx>
            <c:strRef>
              <c:f>'Beisp. 2.8.1 u. Abb. 2.8.2'!$M$10</c:f>
              <c:strCache>
                <c:ptCount val="1"/>
                <c:pt idx="0">
                  <c:v>linear</c:v>
                </c:pt>
              </c:strCache>
            </c:strRef>
          </c:tx>
          <c:spPr>
            <a:ln w="12700">
              <a:solidFill>
                <a:srgbClr val="000000"/>
              </a:solidFill>
              <a:prstDash val="sysDash"/>
            </a:ln>
          </c:spPr>
          <c:marker>
            <c:symbol val="none"/>
          </c:marker>
          <c:xVal>
            <c:numRef>
              <c:f>'Beisp. 2.8.1 u. Abb. 2.8.2'!$L$12:$L$25</c:f>
              <c:numCache>
                <c:formatCode>General</c:formatCode>
                <c:ptCount val="14"/>
                <c:pt idx="0">
                  <c:v>0.8</c:v>
                </c:pt>
                <c:pt idx="1">
                  <c:v>0.82499999999999996</c:v>
                </c:pt>
                <c:pt idx="2">
                  <c:v>0.85</c:v>
                </c:pt>
                <c:pt idx="3">
                  <c:v>0.875</c:v>
                </c:pt>
                <c:pt idx="4">
                  <c:v>0.9</c:v>
                </c:pt>
                <c:pt idx="5">
                  <c:v>0.92500000000000004</c:v>
                </c:pt>
                <c:pt idx="6">
                  <c:v>0.94999999999999896</c:v>
                </c:pt>
                <c:pt idx="7">
                  <c:v>0.97499999999999898</c:v>
                </c:pt>
                <c:pt idx="8">
                  <c:v>0.999999999999999</c:v>
                </c:pt>
                <c:pt idx="9">
                  <c:v>1.0249999999999999</c:v>
                </c:pt>
                <c:pt idx="10">
                  <c:v>1.05</c:v>
                </c:pt>
                <c:pt idx="11">
                  <c:v>1.075</c:v>
                </c:pt>
                <c:pt idx="12">
                  <c:v>1.1000000000000001</c:v>
                </c:pt>
              </c:numCache>
            </c:numRef>
          </c:xVal>
          <c:yVal>
            <c:numRef>
              <c:f>'Beisp. 2.8.1 u. Abb. 2.8.2'!$M$12:$M$25</c:f>
              <c:numCache>
                <c:formatCode>General</c:formatCode>
                <c:ptCount val="14"/>
                <c:pt idx="0">
                  <c:v>105.60000000000001</c:v>
                </c:pt>
                <c:pt idx="1">
                  <c:v>105.77499999999999</c:v>
                </c:pt>
                <c:pt idx="2">
                  <c:v>105.95000000000002</c:v>
                </c:pt>
                <c:pt idx="3">
                  <c:v>106.125</c:v>
                </c:pt>
                <c:pt idx="4">
                  <c:v>106.3</c:v>
                </c:pt>
                <c:pt idx="5">
                  <c:v>106.47500000000001</c:v>
                </c:pt>
                <c:pt idx="6">
                  <c:v>106.65</c:v>
                </c:pt>
                <c:pt idx="7">
                  <c:v>106.82499999999999</c:v>
                </c:pt>
                <c:pt idx="8">
                  <c:v>106.99999999999999</c:v>
                </c:pt>
                <c:pt idx="9">
                  <c:v>107.175</c:v>
                </c:pt>
                <c:pt idx="10">
                  <c:v>107.35000000000001</c:v>
                </c:pt>
                <c:pt idx="11">
                  <c:v>107.52500000000001</c:v>
                </c:pt>
                <c:pt idx="12">
                  <c:v>107.69999999999999</c:v>
                </c:pt>
              </c:numCache>
            </c:numRef>
          </c:yVal>
          <c:smooth val="0"/>
        </c:ser>
        <c:ser>
          <c:idx val="1"/>
          <c:order val="1"/>
          <c:tx>
            <c:strRef>
              <c:f>'Beisp. 2.8.1 u. Abb. 2.8.2'!$N$10</c:f>
              <c:strCache>
                <c:ptCount val="1"/>
                <c:pt idx="0">
                  <c:v>exp. </c:v>
                </c:pt>
              </c:strCache>
            </c:strRef>
          </c:tx>
          <c:spPr>
            <a:ln w="12700">
              <a:solidFill>
                <a:srgbClr val="000000"/>
              </a:solidFill>
              <a:prstDash val="solid"/>
            </a:ln>
          </c:spPr>
          <c:marker>
            <c:symbol val="none"/>
          </c:marker>
          <c:xVal>
            <c:numRef>
              <c:f>'Beisp. 2.8.1 u. Abb. 2.8.2'!$L$12:$L$25</c:f>
              <c:numCache>
                <c:formatCode>General</c:formatCode>
                <c:ptCount val="14"/>
                <c:pt idx="0">
                  <c:v>0.8</c:v>
                </c:pt>
                <c:pt idx="1">
                  <c:v>0.82499999999999996</c:v>
                </c:pt>
                <c:pt idx="2">
                  <c:v>0.85</c:v>
                </c:pt>
                <c:pt idx="3">
                  <c:v>0.875</c:v>
                </c:pt>
                <c:pt idx="4">
                  <c:v>0.9</c:v>
                </c:pt>
                <c:pt idx="5">
                  <c:v>0.92500000000000004</c:v>
                </c:pt>
                <c:pt idx="6">
                  <c:v>0.94999999999999896</c:v>
                </c:pt>
                <c:pt idx="7">
                  <c:v>0.97499999999999898</c:v>
                </c:pt>
                <c:pt idx="8">
                  <c:v>0.999999999999999</c:v>
                </c:pt>
                <c:pt idx="9">
                  <c:v>1.0249999999999999</c:v>
                </c:pt>
                <c:pt idx="10">
                  <c:v>1.05</c:v>
                </c:pt>
                <c:pt idx="11">
                  <c:v>1.075</c:v>
                </c:pt>
                <c:pt idx="12">
                  <c:v>1.1000000000000001</c:v>
                </c:pt>
              </c:numCache>
            </c:numRef>
          </c:xVal>
          <c:yVal>
            <c:numRef>
              <c:f>'Beisp. 2.8.1 u. Abb. 2.8.2'!$N$12:$N$25</c:f>
              <c:numCache>
                <c:formatCode>General</c:formatCode>
                <c:ptCount val="14"/>
                <c:pt idx="0">
                  <c:v>105.56185714735248</c:v>
                </c:pt>
                <c:pt idx="1">
                  <c:v>105.74056255645037</c:v>
                </c:pt>
                <c:pt idx="2">
                  <c:v>105.91957049549706</c:v>
                </c:pt>
                <c:pt idx="3">
                  <c:v>106.09888147664479</c:v>
                </c:pt>
                <c:pt idx="4">
                  <c:v>106.27849601291277</c:v>
                </c:pt>
                <c:pt idx="5">
                  <c:v>106.45841461818877</c:v>
                </c:pt>
                <c:pt idx="6">
                  <c:v>106.6386378072304</c:v>
                </c:pt>
                <c:pt idx="7">
                  <c:v>106.8191660956668</c:v>
                </c:pt>
                <c:pt idx="8">
                  <c:v>107</c:v>
                </c:pt>
                <c:pt idx="9">
                  <c:v>107.1811400376064</c:v>
                </c:pt>
                <c:pt idx="10">
                  <c:v>107.36258672673824</c:v>
                </c:pt>
                <c:pt idx="11">
                  <c:v>107.54434058652518</c:v>
                </c:pt>
                <c:pt idx="12">
                  <c:v>107.72640213697562</c:v>
                </c:pt>
              </c:numCache>
            </c:numRef>
          </c:yVal>
          <c:smooth val="0"/>
        </c:ser>
        <c:dLbls>
          <c:showLegendKey val="0"/>
          <c:showVal val="0"/>
          <c:showCatName val="0"/>
          <c:showSerName val="0"/>
          <c:showPercent val="0"/>
          <c:showBubbleSize val="0"/>
        </c:dLbls>
        <c:axId val="218139456"/>
        <c:axId val="218140032"/>
      </c:scatterChart>
      <c:valAx>
        <c:axId val="218139456"/>
        <c:scaling>
          <c:orientation val="minMax"/>
          <c:max val="1.1000000000000001"/>
          <c:min val="0.9"/>
        </c:scaling>
        <c:delete val="0"/>
        <c:axPos val="b"/>
        <c:majorGridlines>
          <c:spPr>
            <a:ln w="3175">
              <a:solidFill>
                <a:srgbClr val="000000"/>
              </a:solidFill>
              <a:prstDash val="sysDash"/>
            </a:ln>
          </c:spPr>
        </c:majorGridlines>
        <c:title>
          <c:tx>
            <c:rich>
              <a:bodyPr/>
              <a:lstStyle/>
              <a:p>
                <a:pPr>
                  <a:defRPr sz="900" b="1" i="0" u="none" strike="noStrike" baseline="0">
                    <a:solidFill>
                      <a:srgbClr val="000000"/>
                    </a:solidFill>
                    <a:latin typeface="Helv"/>
                    <a:ea typeface="Helv"/>
                    <a:cs typeface="Helv"/>
                  </a:defRPr>
                </a:pPr>
                <a:r>
                  <a:rPr lang="de-DE"/>
                  <a:t>Zeit in Jahren</a:t>
                </a:r>
              </a:p>
            </c:rich>
          </c:tx>
          <c:layout>
            <c:manualLayout>
              <c:xMode val="edge"/>
              <c:yMode val="edge"/>
              <c:x val="0.42424421775322035"/>
              <c:y val="0.9367842380125213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elv"/>
                <a:ea typeface="Helv"/>
                <a:cs typeface="Helv"/>
              </a:defRPr>
            </a:pPr>
            <a:endParaRPr lang="de-DE"/>
          </a:p>
        </c:txPr>
        <c:crossAx val="218140032"/>
        <c:crosses val="autoZero"/>
        <c:crossBetween val="midCat"/>
        <c:majorUnit val="0.05"/>
        <c:minorUnit val="2.5000000000000001E-2"/>
      </c:valAx>
      <c:valAx>
        <c:axId val="218140032"/>
        <c:scaling>
          <c:orientation val="minMax"/>
          <c:max val="107.75"/>
          <c:min val="106.25"/>
        </c:scaling>
        <c:delete val="0"/>
        <c:axPos val="l"/>
        <c:majorGridlines>
          <c:spPr>
            <a:ln w="3175">
              <a:solidFill>
                <a:srgbClr val="000000"/>
              </a:solidFill>
              <a:prstDash val="sysDash"/>
            </a:ln>
          </c:spPr>
        </c:majorGridlines>
        <c:numFmt formatCode="#,##0.00" sourceLinked="0"/>
        <c:majorTickMark val="cross"/>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Helv"/>
                <a:ea typeface="Helv"/>
                <a:cs typeface="Helv"/>
              </a:defRPr>
            </a:pPr>
            <a:endParaRPr lang="de-DE"/>
          </a:p>
        </c:txPr>
        <c:crossAx val="218139456"/>
        <c:crosses val="autoZero"/>
        <c:crossBetween val="midCat"/>
        <c:majorUnit val="0.25"/>
        <c:minorUnit val="0.25"/>
      </c:valAx>
      <c:spPr>
        <a:noFill/>
        <a:ln w="25400">
          <a:noFill/>
        </a:ln>
      </c:spPr>
    </c:plotArea>
    <c:legend>
      <c:legendPos val="r"/>
      <c:layout>
        <c:manualLayout>
          <c:xMode val="edge"/>
          <c:yMode val="edge"/>
          <c:x val="0.47619248931483915"/>
          <c:y val="0.70689853543276149"/>
          <c:w val="0.42857324038335526"/>
          <c:h val="0.12643713641886792"/>
        </c:manualLayout>
      </c:layout>
      <c:overlay val="0"/>
      <c:spPr>
        <a:solidFill>
          <a:srgbClr val="FFFFFF"/>
        </a:solidFill>
        <a:ln w="25400">
          <a:noFill/>
        </a:ln>
      </c:spPr>
      <c:txPr>
        <a:bodyPr/>
        <a:lstStyle/>
        <a:p>
          <a:pPr>
            <a:defRPr sz="825" b="0" i="0" u="none" strike="noStrike" baseline="0">
              <a:solidFill>
                <a:srgbClr val="000000"/>
              </a:solidFill>
              <a:latin typeface="Helv"/>
              <a:ea typeface="Helv"/>
              <a:cs typeface="Helv"/>
            </a:defRPr>
          </a:pPr>
          <a:endParaRPr lang="de-DE"/>
        </a:p>
      </c:txPr>
    </c:legend>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Helv"/>
          <a:ea typeface="Helv"/>
          <a:cs typeface="Helv"/>
        </a:defRPr>
      </a:pPr>
      <a:endParaRPr lang="de-DE"/>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de-DE"/>
              <a:t>Endkapital in Euro</a:t>
            </a:r>
          </a:p>
        </c:rich>
      </c:tx>
      <c:layout>
        <c:manualLayout>
          <c:xMode val="edge"/>
          <c:yMode val="edge"/>
          <c:x val="0.27896995708154504"/>
          <c:y val="3.4482855386963975E-2"/>
        </c:manualLayout>
      </c:layout>
      <c:overlay val="0"/>
      <c:spPr>
        <a:noFill/>
        <a:ln w="25400">
          <a:noFill/>
        </a:ln>
      </c:spPr>
    </c:title>
    <c:autoTitleDeleted val="0"/>
    <c:plotArea>
      <c:layout>
        <c:manualLayout>
          <c:layoutTarget val="inner"/>
          <c:xMode val="edge"/>
          <c:yMode val="edge"/>
          <c:x val="0.17596566523605151"/>
          <c:y val="4.5977140515951968E-2"/>
          <c:w val="0.75536480686695284"/>
          <c:h val="0.80459995902915948"/>
        </c:manualLayout>
      </c:layout>
      <c:scatterChart>
        <c:scatterStyle val="smoothMarker"/>
        <c:varyColors val="0"/>
        <c:ser>
          <c:idx val="0"/>
          <c:order val="0"/>
          <c:tx>
            <c:strRef>
              <c:f>'Beisp. 2.8.1 u. Abb. 2.8.2 (2)'!$G$9</c:f>
              <c:strCache>
                <c:ptCount val="1"/>
                <c:pt idx="0">
                  <c:v>stetig</c:v>
                </c:pt>
              </c:strCache>
            </c:strRef>
          </c:tx>
          <c:spPr>
            <a:ln w="25400">
              <a:solidFill>
                <a:srgbClr val="000080"/>
              </a:solidFill>
              <a:prstDash val="solid"/>
            </a:ln>
          </c:spPr>
          <c:marker>
            <c:symbol val="none"/>
          </c:marker>
          <c:xVal>
            <c:numRef>
              <c:f>'Beisp. 2.8.1 u. Abb. 2.8.2 (2)'!$F$10:$F$50</c:f>
              <c:numCache>
                <c:formatCode>General</c:formatCode>
                <c:ptCount val="4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numCache>
            </c:numRef>
          </c:xVal>
          <c:yVal>
            <c:numRef>
              <c:f>'Beisp. 2.8.1 u. Abb. 2.8.2 (2)'!$G$10:$G$50</c:f>
              <c:numCache>
                <c:formatCode>General</c:formatCode>
                <c:ptCount val="41"/>
                <c:pt idx="0" formatCode="0.00">
                  <c:v>100</c:v>
                </c:pt>
                <c:pt idx="1">
                  <c:v>96.560541625756642</c:v>
                </c:pt>
                <c:pt idx="2">
                  <c:v>93.239381990594822</c:v>
                </c:pt>
                <c:pt idx="3">
                  <c:v>90.032452258626563</c:v>
                </c:pt>
                <c:pt idx="4">
                  <c:v>86.935823539880587</c:v>
                </c:pt>
                <c:pt idx="5">
                  <c:v>83.945702076920739</c:v>
                </c:pt>
                <c:pt idx="6">
                  <c:v>81.058424597018714</c:v>
                </c:pt>
                <c:pt idx="7">
                  <c:v>78.270453824186816</c:v>
                </c:pt>
                <c:pt idx="8">
                  <c:v>75.578374145572553</c:v>
                </c:pt>
                <c:pt idx="9">
                  <c:v>72.978887426905686</c:v>
                </c:pt>
                <c:pt idx="10">
                  <c:v>70.46880897187134</c:v>
                </c:pt>
                <c:pt idx="11">
                  <c:v>68.045063620458762</c:v>
                </c:pt>
                <c:pt idx="12">
                  <c:v>65.704681981505672</c:v>
                </c:pt>
                <c:pt idx="13">
                  <c:v>63.444796794822814</c:v>
                </c:pt>
                <c:pt idx="14">
                  <c:v>61.262639418441601</c:v>
                </c:pt>
                <c:pt idx="15">
                  <c:v>59.155536436681508</c:v>
                </c:pt>
                <c:pt idx="16">
                  <c:v>57.120906384881486</c:v>
                </c:pt>
                <c:pt idx="17">
                  <c:v>55.156256586782973</c:v>
                </c:pt>
                <c:pt idx="18">
                  <c:v>53.259180100689719</c:v>
                </c:pt>
                <c:pt idx="19">
                  <c:v>51.427352770663191</c:v>
                </c:pt>
                <c:pt idx="20">
                  <c:v>49.658530379140949</c:v>
                </c:pt>
                <c:pt idx="21">
                  <c:v>47.950545897489405</c:v>
                </c:pt>
                <c:pt idx="22">
                  <c:v>46.301306831122808</c:v>
                </c:pt>
                <c:pt idx="23">
                  <c:v>44.708792655935639</c:v>
                </c:pt>
                <c:pt idx="24">
                  <c:v>43.17105234290797</c:v>
                </c:pt>
                <c:pt idx="25">
                  <c:v>41.686201967850835</c:v>
                </c:pt>
                <c:pt idx="26">
                  <c:v>40.252422403363589</c:v>
                </c:pt>
                <c:pt idx="27">
                  <c:v>38.867957090175295</c:v>
                </c:pt>
                <c:pt idx="28">
                  <c:v>37.531109885139955</c:v>
                </c:pt>
                <c:pt idx="29">
                  <c:v>36.240242983249026</c:v>
                </c:pt>
                <c:pt idx="30">
                  <c:v>34.99377491111553</c:v>
                </c:pt>
                <c:pt idx="31">
                  <c:v>33.790178589471296</c:v>
                </c:pt>
                <c:pt idx="32">
                  <c:v>32.627979462303948</c:v>
                </c:pt>
                <c:pt idx="33">
                  <c:v>31.505753690341333</c:v>
                </c:pt>
                <c:pt idx="34">
                  <c:v>30.422126406670401</c:v>
                </c:pt>
                <c:pt idx="35">
                  <c:v>29.375770032353277</c:v>
                </c:pt>
                <c:pt idx="36">
                  <c:v>28.365402649977028</c:v>
                </c:pt>
                <c:pt idx="37">
                  <c:v>27.389786433144554</c:v>
                </c:pt>
                <c:pt idx="38">
                  <c:v>26.447726129982396</c:v>
                </c:pt>
                <c:pt idx="39">
                  <c:v>25.538067598807761</c:v>
                </c:pt>
                <c:pt idx="40">
                  <c:v>24.659696394160644</c:v>
                </c:pt>
              </c:numCache>
            </c:numRef>
          </c:yVal>
          <c:smooth val="1"/>
        </c:ser>
        <c:ser>
          <c:idx val="1"/>
          <c:order val="1"/>
          <c:tx>
            <c:strRef>
              <c:f>'Beisp. 2.8.1 u. Abb. 2.8.2 (2)'!$H$9</c:f>
              <c:strCache>
                <c:ptCount val="1"/>
                <c:pt idx="0">
                  <c:v>exp.</c:v>
                </c:pt>
              </c:strCache>
            </c:strRef>
          </c:tx>
          <c:spPr>
            <a:ln w="12700">
              <a:solidFill>
                <a:srgbClr val="000000"/>
              </a:solidFill>
              <a:prstDash val="solid"/>
            </a:ln>
          </c:spPr>
          <c:marker>
            <c:symbol val="none"/>
          </c:marker>
          <c:xVal>
            <c:numRef>
              <c:f>'Beisp. 2.8.1 u. Abb. 2.8.2 (2)'!$F$10:$F$50</c:f>
              <c:numCache>
                <c:formatCode>General</c:formatCode>
                <c:ptCount val="4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numCache>
            </c:numRef>
          </c:xVal>
          <c:yVal>
            <c:numRef>
              <c:f>'Beisp. 2.8.1 u. Abb. 2.8.2 (2)'!$H$10:$H$50</c:f>
              <c:numCache>
                <c:formatCode>General</c:formatCode>
                <c:ptCount val="41"/>
                <c:pt idx="0" formatCode="0.00">
                  <c:v>100</c:v>
                </c:pt>
                <c:pt idx="1">
                  <c:v>96.436507609929549</c:v>
                </c:pt>
                <c:pt idx="2">
                  <c:v>93</c:v>
                </c:pt>
                <c:pt idx="3">
                  <c:v>89.685952077234475</c:v>
                </c:pt>
                <c:pt idx="4">
                  <c:v>86.49</c:v>
                </c:pt>
                <c:pt idx="5">
                  <c:v>83.407935431828051</c:v>
                </c:pt>
                <c:pt idx="6">
                  <c:v>80.435699999999983</c:v>
                </c:pt>
                <c:pt idx="7">
                  <c:v>77.569379951600084</c:v>
                </c:pt>
                <c:pt idx="8">
                  <c:v>74.805200999999983</c:v>
                </c:pt>
                <c:pt idx="9">
                  <c:v>72.139523354988071</c:v>
                </c:pt>
                <c:pt idx="10">
                  <c:v>69.568836929999975</c:v>
                </c:pt>
                <c:pt idx="11">
                  <c:v>67.089756720138908</c:v>
                </c:pt>
                <c:pt idx="12">
                  <c:v>64.699018344899969</c:v>
                </c:pt>
                <c:pt idx="13">
                  <c:v>62.393473749729175</c:v>
                </c:pt>
                <c:pt idx="14">
                  <c:v>60.17008706075697</c:v>
                </c:pt>
                <c:pt idx="15">
                  <c:v>58.025930587248133</c:v>
                </c:pt>
                <c:pt idx="16">
                  <c:v>55.958180966503981</c:v>
                </c:pt>
                <c:pt idx="17">
                  <c:v>53.96411544614076</c:v>
                </c:pt>
                <c:pt idx="18">
                  <c:v>52.041108298848691</c:v>
                </c:pt>
                <c:pt idx="19">
                  <c:v>50.186627364910898</c:v>
                </c:pt>
                <c:pt idx="20">
                  <c:v>48.398230717929287</c:v>
                </c:pt>
                <c:pt idx="21">
                  <c:v>46.673563449367137</c:v>
                </c:pt>
                <c:pt idx="22">
                  <c:v>45.010354567674234</c:v>
                </c:pt>
                <c:pt idx="23">
                  <c:v>43.40641400791143</c:v>
                </c:pt>
                <c:pt idx="24">
                  <c:v>41.859629747937035</c:v>
                </c:pt>
                <c:pt idx="25">
                  <c:v>40.367965027357627</c:v>
                </c:pt>
                <c:pt idx="26">
                  <c:v>38.929455665581436</c:v>
                </c:pt>
                <c:pt idx="27">
                  <c:v>37.542207475442588</c:v>
                </c:pt>
                <c:pt idx="28">
                  <c:v>36.204393768990734</c:v>
                </c:pt>
                <c:pt idx="29">
                  <c:v>34.914252952161611</c:v>
                </c:pt>
                <c:pt idx="30">
                  <c:v>33.670086205161383</c:v>
                </c:pt>
                <c:pt idx="31">
                  <c:v>32.470255245510295</c:v>
                </c:pt>
                <c:pt idx="32">
                  <c:v>31.313180170800081</c:v>
                </c:pt>
                <c:pt idx="33">
                  <c:v>30.197337378324573</c:v>
                </c:pt>
                <c:pt idx="34">
                  <c:v>29.121257558844071</c:v>
                </c:pt>
                <c:pt idx="35">
                  <c:v>28.08352376184185</c:v>
                </c:pt>
                <c:pt idx="36">
                  <c:v>27.082769529724988</c:v>
                </c:pt>
                <c:pt idx="37">
                  <c:v>26.117677098512914</c:v>
                </c:pt>
                <c:pt idx="38">
                  <c:v>25.18697566264424</c:v>
                </c:pt>
                <c:pt idx="39">
                  <c:v>24.28943970161701</c:v>
                </c:pt>
                <c:pt idx="40">
                  <c:v>23.423887366259137</c:v>
                </c:pt>
              </c:numCache>
            </c:numRef>
          </c:yVal>
          <c:smooth val="1"/>
        </c:ser>
        <c:ser>
          <c:idx val="2"/>
          <c:order val="2"/>
          <c:tx>
            <c:strRef>
              <c:f>'Beisp. 2.8.1 u. Abb. 2.8.2 (2)'!$I$9</c:f>
              <c:strCache>
                <c:ptCount val="1"/>
                <c:pt idx="0">
                  <c:v>linear</c:v>
                </c:pt>
              </c:strCache>
            </c:strRef>
          </c:tx>
          <c:spPr>
            <a:ln w="12700">
              <a:solidFill>
                <a:srgbClr val="000000"/>
              </a:solidFill>
              <a:prstDash val="sysDash"/>
            </a:ln>
          </c:spPr>
          <c:marker>
            <c:symbol val="none"/>
          </c:marker>
          <c:xVal>
            <c:numRef>
              <c:f>'Beisp. 2.8.1 u. Abb. 2.8.2 (2)'!$F$10:$F$50</c:f>
              <c:numCache>
                <c:formatCode>General</c:formatCode>
                <c:ptCount val="4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numCache>
            </c:numRef>
          </c:xVal>
          <c:yVal>
            <c:numRef>
              <c:f>'Beisp. 2.8.1 u. Abb. 2.8.2 (2)'!$I$10:$I$50</c:f>
              <c:numCache>
                <c:formatCode>General</c:formatCode>
                <c:ptCount val="41"/>
                <c:pt idx="0" formatCode="0.00">
                  <c:v>100</c:v>
                </c:pt>
                <c:pt idx="1">
                  <c:v>96.5</c:v>
                </c:pt>
                <c:pt idx="2">
                  <c:v>93</c:v>
                </c:pt>
                <c:pt idx="3">
                  <c:v>89.5</c:v>
                </c:pt>
                <c:pt idx="4">
                  <c:v>86</c:v>
                </c:pt>
                <c:pt idx="5">
                  <c:v>82.5</c:v>
                </c:pt>
                <c:pt idx="6">
                  <c:v>79</c:v>
                </c:pt>
                <c:pt idx="7">
                  <c:v>75.5</c:v>
                </c:pt>
                <c:pt idx="8">
                  <c:v>72</c:v>
                </c:pt>
                <c:pt idx="9">
                  <c:v>68.5</c:v>
                </c:pt>
                <c:pt idx="10">
                  <c:v>64.999999999999986</c:v>
                </c:pt>
                <c:pt idx="11">
                  <c:v>61.5</c:v>
                </c:pt>
                <c:pt idx="12">
                  <c:v>57.999999999999993</c:v>
                </c:pt>
                <c:pt idx="13">
                  <c:v>54.499999999999993</c:v>
                </c:pt>
                <c:pt idx="14">
                  <c:v>51</c:v>
                </c:pt>
                <c:pt idx="15">
                  <c:v>47.5</c:v>
                </c:pt>
                <c:pt idx="16">
                  <c:v>43.999999999999993</c:v>
                </c:pt>
                <c:pt idx="17">
                  <c:v>40.499999999999993</c:v>
                </c:pt>
                <c:pt idx="18">
                  <c:v>36.999999999999986</c:v>
                </c:pt>
                <c:pt idx="19">
                  <c:v>33.5</c:v>
                </c:pt>
                <c:pt idx="20">
                  <c:v>29.999999999999993</c:v>
                </c:pt>
                <c:pt idx="21">
                  <c:v>26.499999999999989</c:v>
                </c:pt>
                <c:pt idx="22">
                  <c:v>23</c:v>
                </c:pt>
                <c:pt idx="23">
                  <c:v>19.499999999999996</c:v>
                </c:pt>
                <c:pt idx="24">
                  <c:v>15.999999999999993</c:v>
                </c:pt>
                <c:pt idx="25">
                  <c:v>12.499999999999989</c:v>
                </c:pt>
                <c:pt idx="26">
                  <c:v>8.9999999999999858</c:v>
                </c:pt>
                <c:pt idx="27">
                  <c:v>5.4999999999999938</c:v>
                </c:pt>
                <c:pt idx="28">
                  <c:v>1.9999999999999907</c:v>
                </c:pt>
                <c:pt idx="29">
                  <c:v>-1.5000000000000124</c:v>
                </c:pt>
                <c:pt idx="30">
                  <c:v>-5.0000000000000044</c:v>
                </c:pt>
                <c:pt idx="31">
                  <c:v>-8.5000000000000178</c:v>
                </c:pt>
                <c:pt idx="32">
                  <c:v>-12.000000000000011</c:v>
                </c:pt>
                <c:pt idx="33">
                  <c:v>-15.500000000000004</c:v>
                </c:pt>
                <c:pt idx="34">
                  <c:v>-19.000000000000018</c:v>
                </c:pt>
                <c:pt idx="35">
                  <c:v>-22.500000000000007</c:v>
                </c:pt>
                <c:pt idx="36">
                  <c:v>-26.000000000000021</c:v>
                </c:pt>
                <c:pt idx="37">
                  <c:v>-29.500000000000014</c:v>
                </c:pt>
                <c:pt idx="38">
                  <c:v>-33.000000000000007</c:v>
                </c:pt>
                <c:pt idx="39">
                  <c:v>-36.500000000000021</c:v>
                </c:pt>
                <c:pt idx="40">
                  <c:v>-40.000000000000014</c:v>
                </c:pt>
              </c:numCache>
            </c:numRef>
          </c:yVal>
          <c:smooth val="1"/>
        </c:ser>
        <c:dLbls>
          <c:showLegendKey val="0"/>
          <c:showVal val="0"/>
          <c:showCatName val="0"/>
          <c:showSerName val="0"/>
          <c:showPercent val="0"/>
          <c:showBubbleSize val="0"/>
        </c:dLbls>
        <c:axId val="218142336"/>
        <c:axId val="218142912"/>
      </c:scatterChart>
      <c:valAx>
        <c:axId val="218142336"/>
        <c:scaling>
          <c:orientation val="minMax"/>
          <c:max val="20.9"/>
          <c:min val="0"/>
        </c:scaling>
        <c:delete val="0"/>
        <c:axPos val="b"/>
        <c:title>
          <c:tx>
            <c:rich>
              <a:bodyPr/>
              <a:lstStyle/>
              <a:p>
                <a:pPr>
                  <a:defRPr sz="900" b="1" i="0" u="none" strike="noStrike" baseline="0">
                    <a:solidFill>
                      <a:srgbClr val="000000"/>
                    </a:solidFill>
                    <a:latin typeface="Times New Roman"/>
                    <a:ea typeface="Times New Roman"/>
                    <a:cs typeface="Times New Roman"/>
                  </a:defRPr>
                </a:pPr>
                <a:r>
                  <a:rPr lang="de-DE"/>
                  <a:t>Jahre</a:t>
                </a:r>
              </a:p>
            </c:rich>
          </c:tx>
          <c:layout>
            <c:manualLayout>
              <c:xMode val="edge"/>
              <c:yMode val="edge"/>
              <c:x val="0.48068669527896996"/>
              <c:y val="0.92528995288353333"/>
            </c:manualLayout>
          </c:layout>
          <c:overlay val="0"/>
          <c:spPr>
            <a:noFill/>
            <a:ln w="25400">
              <a:noFill/>
            </a:ln>
          </c:spPr>
        </c:title>
        <c:numFmt formatCode="General" sourceLinked="1"/>
        <c:majorTickMark val="cross"/>
        <c:min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de-DE"/>
          </a:p>
        </c:txPr>
        <c:crossAx val="218142912"/>
        <c:crosses val="autoZero"/>
        <c:crossBetween val="midCat"/>
        <c:majorUnit val="5"/>
      </c:valAx>
      <c:valAx>
        <c:axId val="218142912"/>
        <c:scaling>
          <c:orientation val="minMax"/>
          <c:max val="125"/>
          <c:min val="0"/>
        </c:scaling>
        <c:delete val="0"/>
        <c:axPos val="l"/>
        <c:numFmt formatCode="0" sourceLinked="0"/>
        <c:majorTickMark val="cross"/>
        <c:min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de-DE"/>
          </a:p>
        </c:txPr>
        <c:crossAx val="218142336"/>
        <c:crosses val="autoZero"/>
        <c:crossBetween val="midCat"/>
        <c:minorUnit val="25"/>
      </c:valAx>
      <c:spPr>
        <a:noFill/>
        <a:ln w="25400">
          <a:noFill/>
        </a:ln>
      </c:spPr>
    </c:plotArea>
    <c:legend>
      <c:legendPos val="r"/>
      <c:layout>
        <c:manualLayout>
          <c:xMode val="edge"/>
          <c:yMode val="edge"/>
          <c:x val="0.63948497854077258"/>
          <c:y val="0.38122786375840956"/>
          <c:w val="0.33047210300429186"/>
          <c:h val="0.16666713437032588"/>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de-DE"/>
    </a:p>
  </c:txPr>
  <c:printSettings>
    <c:headerFooter alignWithMargins="0">
      <c:oddHeader>&amp;B</c:oddHeader>
      <c:oddFooter>Seite &amp;S</c:oddFooter>
    </c:headerFooter>
    <c:pageMargins b="0.984251969" l="0.78740157499999996" r="0.78740157499999996" t="0.984251969" header="0.4921259845" footer="0.4921259845"/>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839917737555535"/>
          <c:y val="6.3218390804597707E-2"/>
          <c:w val="0.65368241715037012"/>
          <c:h val="0.79597924518241847"/>
        </c:manualLayout>
      </c:layout>
      <c:scatterChart>
        <c:scatterStyle val="lineMarker"/>
        <c:varyColors val="0"/>
        <c:ser>
          <c:idx val="0"/>
          <c:order val="0"/>
          <c:tx>
            <c:strRef>
              <c:f>'Beisp. 2.8.1 u. Abb. 2.8.2 (2)'!$M$10</c:f>
              <c:strCache>
                <c:ptCount val="1"/>
                <c:pt idx="0">
                  <c:v>linear</c:v>
                </c:pt>
              </c:strCache>
            </c:strRef>
          </c:tx>
          <c:spPr>
            <a:ln w="12700">
              <a:solidFill>
                <a:srgbClr val="000000"/>
              </a:solidFill>
              <a:prstDash val="sysDash"/>
            </a:ln>
          </c:spPr>
          <c:marker>
            <c:symbol val="none"/>
          </c:marker>
          <c:xVal>
            <c:numRef>
              <c:f>'Beisp. 2.8.1 u. Abb. 2.8.2 (2)'!$L$12:$L$25</c:f>
              <c:numCache>
                <c:formatCode>General</c:formatCode>
                <c:ptCount val="14"/>
                <c:pt idx="0">
                  <c:v>0.8</c:v>
                </c:pt>
                <c:pt idx="1">
                  <c:v>0.82499999999999996</c:v>
                </c:pt>
                <c:pt idx="2">
                  <c:v>0.85</c:v>
                </c:pt>
                <c:pt idx="3">
                  <c:v>0.875</c:v>
                </c:pt>
                <c:pt idx="4">
                  <c:v>0.9</c:v>
                </c:pt>
                <c:pt idx="5">
                  <c:v>0.92500000000000004</c:v>
                </c:pt>
                <c:pt idx="6">
                  <c:v>0.94999999999999896</c:v>
                </c:pt>
                <c:pt idx="7">
                  <c:v>0.97499999999999898</c:v>
                </c:pt>
                <c:pt idx="8">
                  <c:v>0.999999999999999</c:v>
                </c:pt>
                <c:pt idx="9">
                  <c:v>1.0249999999999999</c:v>
                </c:pt>
                <c:pt idx="10">
                  <c:v>1.05</c:v>
                </c:pt>
                <c:pt idx="11">
                  <c:v>1.075</c:v>
                </c:pt>
                <c:pt idx="12">
                  <c:v>1.1000000000000001</c:v>
                </c:pt>
              </c:numCache>
            </c:numRef>
          </c:xVal>
          <c:yVal>
            <c:numRef>
              <c:f>'Beisp. 2.8.1 u. Abb. 2.8.2 (2)'!$M$12:$M$25</c:f>
              <c:numCache>
                <c:formatCode>General</c:formatCode>
                <c:ptCount val="14"/>
                <c:pt idx="0">
                  <c:v>94.399999999999991</c:v>
                </c:pt>
                <c:pt idx="1">
                  <c:v>94.225000000000009</c:v>
                </c:pt>
                <c:pt idx="2">
                  <c:v>94.05</c:v>
                </c:pt>
                <c:pt idx="3">
                  <c:v>93.875</c:v>
                </c:pt>
                <c:pt idx="4">
                  <c:v>93.699999999999989</c:v>
                </c:pt>
                <c:pt idx="5">
                  <c:v>93.525000000000006</c:v>
                </c:pt>
                <c:pt idx="6">
                  <c:v>93.350000000000009</c:v>
                </c:pt>
                <c:pt idx="7">
                  <c:v>93.175000000000011</c:v>
                </c:pt>
                <c:pt idx="8">
                  <c:v>93</c:v>
                </c:pt>
                <c:pt idx="9">
                  <c:v>92.825000000000003</c:v>
                </c:pt>
                <c:pt idx="10">
                  <c:v>92.65</c:v>
                </c:pt>
                <c:pt idx="11">
                  <c:v>92.474999999999994</c:v>
                </c:pt>
                <c:pt idx="12">
                  <c:v>92.300000000000011</c:v>
                </c:pt>
              </c:numCache>
            </c:numRef>
          </c:yVal>
          <c:smooth val="0"/>
        </c:ser>
        <c:ser>
          <c:idx val="1"/>
          <c:order val="1"/>
          <c:tx>
            <c:strRef>
              <c:f>'Beisp. 2.8.1 u. Abb. 2.8.2 (2)'!$N$10</c:f>
              <c:strCache>
                <c:ptCount val="1"/>
                <c:pt idx="0">
                  <c:v>exp. </c:v>
                </c:pt>
              </c:strCache>
            </c:strRef>
          </c:tx>
          <c:spPr>
            <a:ln w="12700">
              <a:solidFill>
                <a:srgbClr val="000000"/>
              </a:solidFill>
              <a:prstDash val="solid"/>
            </a:ln>
          </c:spPr>
          <c:marker>
            <c:symbol val="none"/>
          </c:marker>
          <c:xVal>
            <c:numRef>
              <c:f>'Beisp. 2.8.1 u. Abb. 2.8.2 (2)'!$L$12:$L$25</c:f>
              <c:numCache>
                <c:formatCode>General</c:formatCode>
                <c:ptCount val="14"/>
                <c:pt idx="0">
                  <c:v>0.8</c:v>
                </c:pt>
                <c:pt idx="1">
                  <c:v>0.82499999999999996</c:v>
                </c:pt>
                <c:pt idx="2">
                  <c:v>0.85</c:v>
                </c:pt>
                <c:pt idx="3">
                  <c:v>0.875</c:v>
                </c:pt>
                <c:pt idx="4">
                  <c:v>0.9</c:v>
                </c:pt>
                <c:pt idx="5">
                  <c:v>0.92500000000000004</c:v>
                </c:pt>
                <c:pt idx="6">
                  <c:v>0.94999999999999896</c:v>
                </c:pt>
                <c:pt idx="7">
                  <c:v>0.97499999999999898</c:v>
                </c:pt>
                <c:pt idx="8">
                  <c:v>0.999999999999999</c:v>
                </c:pt>
                <c:pt idx="9">
                  <c:v>1.0249999999999999</c:v>
                </c:pt>
                <c:pt idx="10">
                  <c:v>1.05</c:v>
                </c:pt>
                <c:pt idx="11">
                  <c:v>1.075</c:v>
                </c:pt>
                <c:pt idx="12">
                  <c:v>1.1000000000000001</c:v>
                </c:pt>
              </c:numCache>
            </c:numRef>
          </c:xVal>
          <c:yVal>
            <c:numRef>
              <c:f>'Beisp. 2.8.1 u. Abb. 2.8.2 (2)'!$N$12:$N$25</c:f>
              <c:numCache>
                <c:formatCode>General</c:formatCode>
                <c:ptCount val="14"/>
                <c:pt idx="0">
                  <c:v>94.359658151394683</c:v>
                </c:pt>
                <c:pt idx="1">
                  <c:v>94.188619708845863</c:v>
                </c:pt>
                <c:pt idx="2">
                  <c:v>94.017891294432005</c:v>
                </c:pt>
                <c:pt idx="3">
                  <c:v>93.847472346189079</c:v>
                </c:pt>
                <c:pt idx="4">
                  <c:v>93.677362303171748</c:v>
                </c:pt>
                <c:pt idx="5">
                  <c:v>93.507560605451445</c:v>
                </c:pt>
                <c:pt idx="6">
                  <c:v>93.338066694114545</c:v>
                </c:pt>
                <c:pt idx="7">
                  <c:v>93.168880011260484</c:v>
                </c:pt>
                <c:pt idx="8">
                  <c:v>93</c:v>
                </c:pt>
                <c:pt idx="9">
                  <c:v>92.831426104453257</c:v>
                </c:pt>
                <c:pt idx="10">
                  <c:v>92.663157769748025</c:v>
                </c:pt>
                <c:pt idx="11">
                  <c:v>92.495194442017834</c:v>
                </c:pt>
                <c:pt idx="12">
                  <c:v>92.327535568400165</c:v>
                </c:pt>
              </c:numCache>
            </c:numRef>
          </c:yVal>
          <c:smooth val="0"/>
        </c:ser>
        <c:dLbls>
          <c:showLegendKey val="0"/>
          <c:showVal val="0"/>
          <c:showCatName val="0"/>
          <c:showSerName val="0"/>
          <c:showPercent val="0"/>
          <c:showBubbleSize val="0"/>
        </c:dLbls>
        <c:axId val="218784320"/>
        <c:axId val="218784896"/>
      </c:scatterChart>
      <c:valAx>
        <c:axId val="218784320"/>
        <c:scaling>
          <c:orientation val="minMax"/>
          <c:max val="1.1000000000000001"/>
          <c:min val="0.9"/>
        </c:scaling>
        <c:delete val="0"/>
        <c:axPos val="b"/>
        <c:majorGridlines>
          <c:spPr>
            <a:ln w="3175">
              <a:solidFill>
                <a:srgbClr val="000000"/>
              </a:solidFill>
              <a:prstDash val="sysDash"/>
            </a:ln>
          </c:spPr>
        </c:majorGridlines>
        <c:title>
          <c:tx>
            <c:rich>
              <a:bodyPr/>
              <a:lstStyle/>
              <a:p>
                <a:pPr>
                  <a:defRPr sz="900" b="1" i="0" u="none" strike="noStrike" baseline="0">
                    <a:solidFill>
                      <a:srgbClr val="000000"/>
                    </a:solidFill>
                    <a:latin typeface="Helv"/>
                    <a:ea typeface="Helv"/>
                    <a:cs typeface="Helv"/>
                  </a:defRPr>
                </a:pPr>
                <a:r>
                  <a:rPr lang="de-DE"/>
                  <a:t>Zeit in Jahren</a:t>
                </a:r>
              </a:p>
            </c:rich>
          </c:tx>
          <c:layout>
            <c:manualLayout>
              <c:xMode val="edge"/>
              <c:yMode val="edge"/>
              <c:x val="0.42424421775322035"/>
              <c:y val="0.9367842380125213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elv"/>
                <a:ea typeface="Helv"/>
                <a:cs typeface="Helv"/>
              </a:defRPr>
            </a:pPr>
            <a:endParaRPr lang="de-DE"/>
          </a:p>
        </c:txPr>
        <c:crossAx val="218784896"/>
        <c:crosses val="autoZero"/>
        <c:crossBetween val="midCat"/>
        <c:majorUnit val="0.05"/>
        <c:minorUnit val="2.5000000000000001E-2"/>
      </c:valAx>
      <c:valAx>
        <c:axId val="218784896"/>
        <c:scaling>
          <c:orientation val="minMax"/>
          <c:max val="94"/>
          <c:min val="92"/>
        </c:scaling>
        <c:delete val="0"/>
        <c:axPos val="l"/>
        <c:majorGridlines>
          <c:spPr>
            <a:ln w="3175">
              <a:solidFill>
                <a:srgbClr val="000000"/>
              </a:solidFill>
              <a:prstDash val="sysDash"/>
            </a:ln>
          </c:spPr>
        </c:majorGridlines>
        <c:numFmt formatCode="#,##0.00" sourceLinked="0"/>
        <c:majorTickMark val="cross"/>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Helv"/>
                <a:ea typeface="Helv"/>
                <a:cs typeface="Helv"/>
              </a:defRPr>
            </a:pPr>
            <a:endParaRPr lang="de-DE"/>
          </a:p>
        </c:txPr>
        <c:crossAx val="218784320"/>
        <c:crosses val="autoZero"/>
        <c:crossBetween val="midCat"/>
        <c:majorUnit val="0.5"/>
        <c:minorUnit val="0.25"/>
      </c:valAx>
      <c:spPr>
        <a:noFill/>
        <a:ln w="25400">
          <a:noFill/>
        </a:ln>
      </c:spPr>
    </c:plotArea>
    <c:legend>
      <c:legendPos val="r"/>
      <c:layout>
        <c:manualLayout>
          <c:xMode val="edge"/>
          <c:yMode val="edge"/>
          <c:x val="0.47619248931483915"/>
          <c:y val="0.70689853543276149"/>
          <c:w val="0.42857324038335526"/>
          <c:h val="0.12643713641886792"/>
        </c:manualLayout>
      </c:layout>
      <c:overlay val="0"/>
      <c:spPr>
        <a:solidFill>
          <a:srgbClr val="FFFFFF"/>
        </a:solidFill>
        <a:ln w="25400">
          <a:noFill/>
        </a:ln>
      </c:spPr>
      <c:txPr>
        <a:bodyPr/>
        <a:lstStyle/>
        <a:p>
          <a:pPr>
            <a:defRPr sz="825" b="0" i="0" u="none" strike="noStrike" baseline="0">
              <a:solidFill>
                <a:srgbClr val="000000"/>
              </a:solidFill>
              <a:latin typeface="Helv"/>
              <a:ea typeface="Helv"/>
              <a:cs typeface="Helv"/>
            </a:defRPr>
          </a:pPr>
          <a:endParaRPr lang="de-DE"/>
        </a:p>
      </c:txPr>
    </c:legend>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Helv"/>
          <a:ea typeface="Helv"/>
          <a:cs typeface="Helv"/>
        </a:defRPr>
      </a:pPr>
      <a:endParaRPr lang="de-DE"/>
    </a:p>
  </c:txPr>
  <c:printSettings>
    <c:headerFooter alignWithMargins="0"/>
    <c:pageMargins b="0.984251969" l="0.78740157499999996" r="0.78740157499999996" t="0.984251969" header="0.4921259845" footer="0.4921259845"/>
    <c:pageSetup/>
  </c:printSettings>
</c:chartSpac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6</xdr:col>
      <xdr:colOff>0</xdr:colOff>
      <xdr:row>6</xdr:row>
      <xdr:rowOff>19050</xdr:rowOff>
    </xdr:from>
    <xdr:to>
      <xdr:col>10</xdr:col>
      <xdr:colOff>666750</xdr:colOff>
      <xdr:row>20</xdr:row>
      <xdr:rowOff>47625</xdr:rowOff>
    </xdr:to>
    <xdr:graphicFrame macro="">
      <xdr:nvGraphicFramePr>
        <xdr:cNvPr id="1433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390525</xdr:colOff>
      <xdr:row>20</xdr:row>
      <xdr:rowOff>47625</xdr:rowOff>
    </xdr:from>
    <xdr:to>
      <xdr:col>8</xdr:col>
      <xdr:colOff>85725</xdr:colOff>
      <xdr:row>36</xdr:row>
      <xdr:rowOff>38100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742949</xdr:colOff>
      <xdr:row>26</xdr:row>
      <xdr:rowOff>95250</xdr:rowOff>
    </xdr:from>
    <xdr:to>
      <xdr:col>22</xdr:col>
      <xdr:colOff>590549</xdr:colOff>
      <xdr:row>46</xdr:row>
      <xdr:rowOff>57150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24</xdr:row>
      <xdr:rowOff>95250</xdr:rowOff>
    </xdr:from>
    <xdr:to>
      <xdr:col>6</xdr:col>
      <xdr:colOff>171450</xdr:colOff>
      <xdr:row>44</xdr:row>
      <xdr:rowOff>95250</xdr:rowOff>
    </xdr:to>
    <xdr:graphicFrame macro="">
      <xdr:nvGraphicFramePr>
        <xdr:cNvPr id="2050"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85725</xdr:colOff>
      <xdr:row>27</xdr:row>
      <xdr:rowOff>28575</xdr:rowOff>
    </xdr:from>
    <xdr:to>
      <xdr:col>9</xdr:col>
      <xdr:colOff>276225</xdr:colOff>
      <xdr:row>41</xdr:row>
      <xdr:rowOff>76200</xdr:rowOff>
    </xdr:to>
    <xdr:graphicFrame macro="">
      <xdr:nvGraphicFramePr>
        <xdr:cNvPr id="409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676275</xdr:colOff>
      <xdr:row>17</xdr:row>
      <xdr:rowOff>123825</xdr:rowOff>
    </xdr:from>
    <xdr:to>
      <xdr:col>3</xdr:col>
      <xdr:colOff>733425</xdr:colOff>
      <xdr:row>27</xdr:row>
      <xdr:rowOff>95250</xdr:rowOff>
    </xdr:to>
    <xdr:sp macro="" textlink="">
      <xdr:nvSpPr>
        <xdr:cNvPr id="4099" name="Line 3"/>
        <xdr:cNvSpPr>
          <a:spLocks noChangeShapeType="1"/>
        </xdr:cNvSpPr>
      </xdr:nvSpPr>
      <xdr:spPr bwMode="auto">
        <a:xfrm flipH="1">
          <a:off x="2381250" y="3457575"/>
          <a:ext cx="847725" cy="1752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190500</xdr:colOff>
      <xdr:row>19</xdr:row>
      <xdr:rowOff>38100</xdr:rowOff>
    </xdr:from>
    <xdr:to>
      <xdr:col>7</xdr:col>
      <xdr:colOff>76200</xdr:colOff>
      <xdr:row>36</xdr:row>
      <xdr:rowOff>133350</xdr:rowOff>
    </xdr:to>
    <xdr:graphicFrame macro="">
      <xdr:nvGraphicFramePr>
        <xdr:cNvPr id="819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19</xdr:row>
      <xdr:rowOff>57150</xdr:rowOff>
    </xdr:from>
    <xdr:to>
      <xdr:col>3</xdr:col>
      <xdr:colOff>57150</xdr:colOff>
      <xdr:row>37</xdr:row>
      <xdr:rowOff>0</xdr:rowOff>
    </xdr:to>
    <xdr:graphicFrame macro="">
      <xdr:nvGraphicFramePr>
        <xdr:cNvPr id="8194"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0</xdr:row>
          <xdr:rowOff>0</xdr:rowOff>
        </xdr:from>
        <xdr:to>
          <xdr:col>3</xdr:col>
          <xdr:colOff>114300</xdr:colOff>
          <xdr:row>0</xdr:row>
          <xdr:rowOff>0</xdr:rowOff>
        </xdr:to>
        <xdr:sp macro="" textlink="">
          <xdr:nvSpPr>
            <xdr:cNvPr id="10241" name="Button 1" hidden="1">
              <a:extLst>
                <a:ext uri="{63B3BB69-23CF-44E3-9099-C40C66FF867C}">
                  <a14:compatExt spid="_x0000_s10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Helv"/>
                </a:rPr>
                <a:t>Ergebnisse anzeigen</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180975</xdr:colOff>
      <xdr:row>7</xdr:row>
      <xdr:rowOff>19050</xdr:rowOff>
    </xdr:from>
    <xdr:to>
      <xdr:col>1</xdr:col>
      <xdr:colOff>790575</xdr:colOff>
      <xdr:row>27</xdr:row>
      <xdr:rowOff>95250</xdr:rowOff>
    </xdr:to>
    <xdr:graphicFrame macro="">
      <xdr:nvGraphicFramePr>
        <xdr:cNvPr id="921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95250</xdr:colOff>
      <xdr:row>7</xdr:row>
      <xdr:rowOff>28575</xdr:rowOff>
    </xdr:from>
    <xdr:to>
      <xdr:col>5</xdr:col>
      <xdr:colOff>9525</xdr:colOff>
      <xdr:row>27</xdr:row>
      <xdr:rowOff>104775</xdr:rowOff>
    </xdr:to>
    <xdr:graphicFrame macro="">
      <xdr:nvGraphicFramePr>
        <xdr:cNvPr id="9220"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180975</xdr:colOff>
      <xdr:row>7</xdr:row>
      <xdr:rowOff>19049</xdr:rowOff>
    </xdr:from>
    <xdr:to>
      <xdr:col>1</xdr:col>
      <xdr:colOff>790575</xdr:colOff>
      <xdr:row>37</xdr:row>
      <xdr:rowOff>123824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361950</xdr:colOff>
      <xdr:row>7</xdr:row>
      <xdr:rowOff>28575</xdr:rowOff>
    </xdr:from>
    <xdr:to>
      <xdr:col>5</xdr:col>
      <xdr:colOff>276225</xdr:colOff>
      <xdr:row>27</xdr:row>
      <xdr:rowOff>104775</xdr:rowOff>
    </xdr:to>
    <xdr:graphicFrame macro="">
      <xdr:nvGraphicFramePr>
        <xdr:cNvPr id="3"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38100</xdr:colOff>
      <xdr:row>4</xdr:row>
      <xdr:rowOff>28575</xdr:rowOff>
    </xdr:from>
    <xdr:to>
      <xdr:col>6</xdr:col>
      <xdr:colOff>171450</xdr:colOff>
      <xdr:row>19</xdr:row>
      <xdr:rowOff>28575</xdr:rowOff>
    </xdr:to>
    <xdr:graphicFrame macro="">
      <xdr:nvGraphicFramePr>
        <xdr:cNvPr id="7169"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2</xdr:row>
      <xdr:rowOff>57150</xdr:rowOff>
    </xdr:from>
    <xdr:to>
      <xdr:col>5</xdr:col>
      <xdr:colOff>171450</xdr:colOff>
      <xdr:row>19</xdr:row>
      <xdr:rowOff>0</xdr:rowOff>
    </xdr:to>
    <xdr:graphicFrame macro="">
      <xdr:nvGraphicFramePr>
        <xdr:cNvPr id="614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trlProp" Target="../ctrlProps/ctrlProp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5" sqref="A5"/>
    </sheetView>
  </sheetViews>
  <sheetFormatPr baseColWidth="10" defaultRowHeight="12.75"/>
  <cols>
    <col min="1" max="1" width="113.5703125" style="294" customWidth="1"/>
    <col min="2" max="16384" width="11.42578125" style="294"/>
  </cols>
  <sheetData>
    <row r="1" spans="1:1" ht="15.75">
      <c r="A1" s="316"/>
    </row>
    <row r="2" spans="1:1" ht="15.75">
      <c r="A2" s="317" t="s">
        <v>347</v>
      </c>
    </row>
    <row r="3" spans="1:1">
      <c r="A3" s="318"/>
    </row>
    <row r="4" spans="1:1">
      <c r="A4" s="319"/>
    </row>
    <row r="5" spans="1:1" ht="23.25">
      <c r="A5" s="320" t="s">
        <v>348</v>
      </c>
    </row>
    <row r="6" spans="1:1">
      <c r="A6" s="321"/>
    </row>
    <row r="7" spans="1:1">
      <c r="A7" s="318"/>
    </row>
    <row r="8" spans="1:1">
      <c r="A8" s="318"/>
    </row>
    <row r="9" spans="1:1">
      <c r="A9" s="322" t="s">
        <v>364</v>
      </c>
    </row>
    <row r="10" spans="1:1">
      <c r="A10" s="322" t="s">
        <v>363</v>
      </c>
    </row>
    <row r="11" spans="1:1">
      <c r="A11" s="322" t="s">
        <v>366</v>
      </c>
    </row>
    <row r="12" spans="1:1">
      <c r="A12" s="323" t="s">
        <v>365</v>
      </c>
    </row>
    <row r="13" spans="1:1">
      <c r="A13" s="318"/>
    </row>
    <row r="14" spans="1:1">
      <c r="A14" s="318"/>
    </row>
    <row r="15" spans="1:1">
      <c r="A15" s="323" t="s">
        <v>344</v>
      </c>
    </row>
    <row r="16" spans="1:1">
      <c r="A16" s="318" t="s">
        <v>345</v>
      </c>
    </row>
    <row r="17" spans="1:1">
      <c r="A17" s="318" t="s">
        <v>343</v>
      </c>
    </row>
    <row r="18" spans="1:1">
      <c r="A18" s="318"/>
    </row>
    <row r="19" spans="1:1">
      <c r="A19" s="318"/>
    </row>
    <row r="20" spans="1:1">
      <c r="A20" s="323" t="s">
        <v>389</v>
      </c>
    </row>
    <row r="21" spans="1:1">
      <c r="A21" s="324" t="s">
        <v>390</v>
      </c>
    </row>
    <row r="22" spans="1:1">
      <c r="A22" s="318"/>
    </row>
    <row r="23" spans="1:1">
      <c r="A23" s="323" t="s">
        <v>346</v>
      </c>
    </row>
    <row r="24" spans="1:1">
      <c r="A24" s="318"/>
    </row>
  </sheetData>
  <pageMargins left="0.78740157499999996" right="0.78740157499999996" top="0.984251969" bottom="0.984251969" header="0.4921259845" footer="0.4921259845"/>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dimension ref="A1:K46"/>
  <sheetViews>
    <sheetView showGridLines="0" workbookViewId="0">
      <selection activeCell="C6" sqref="C6"/>
    </sheetView>
  </sheetViews>
  <sheetFormatPr baseColWidth="10" defaultRowHeight="12.75"/>
  <cols>
    <col min="1" max="1" width="7" style="181" customWidth="1"/>
    <col min="2" max="2" width="14.28515625" style="181" customWidth="1"/>
    <col min="3" max="3" width="12" style="181" customWidth="1"/>
    <col min="4" max="4" width="14.85546875" style="181" customWidth="1"/>
    <col min="5" max="5" width="13.140625" style="181" customWidth="1"/>
    <col min="6" max="7" width="11.42578125" style="181"/>
    <col min="8" max="8" width="4.85546875" style="181" customWidth="1"/>
    <col min="9" max="16384" width="11.42578125" style="181"/>
  </cols>
  <sheetData>
    <row r="1" spans="1:11" ht="15.75">
      <c r="A1" s="227" t="s">
        <v>211</v>
      </c>
      <c r="B1" s="180"/>
      <c r="C1" s="180"/>
      <c r="D1" s="180"/>
      <c r="E1" s="180"/>
      <c r="F1" s="180"/>
      <c r="G1" s="180"/>
      <c r="H1" s="180"/>
      <c r="I1" s="228" t="s">
        <v>240</v>
      </c>
      <c r="J1" s="229"/>
      <c r="K1" s="230"/>
    </row>
    <row r="2" spans="1:11">
      <c r="A2" s="182" t="s">
        <v>212</v>
      </c>
      <c r="B2" s="183"/>
      <c r="C2" s="184" t="s">
        <v>247</v>
      </c>
      <c r="D2" s="180"/>
      <c r="E2" s="180"/>
      <c r="F2" s="180"/>
      <c r="G2" s="180"/>
      <c r="H2" s="180"/>
      <c r="I2" s="185" t="s">
        <v>241</v>
      </c>
      <c r="J2" s="231"/>
      <c r="K2" s="186"/>
    </row>
    <row r="3" spans="1:11">
      <c r="A3" s="182" t="s">
        <v>213</v>
      </c>
      <c r="B3" s="183"/>
      <c r="C3" s="187">
        <v>36527</v>
      </c>
      <c r="D3" s="180"/>
      <c r="E3" s="180"/>
      <c r="F3" s="180"/>
      <c r="G3" s="180"/>
      <c r="H3" s="180"/>
      <c r="I3" s="185" t="s">
        <v>295</v>
      </c>
      <c r="J3" s="231"/>
      <c r="K3" s="186"/>
    </row>
    <row r="4" spans="1:11">
      <c r="A4" s="182" t="s">
        <v>69</v>
      </c>
      <c r="B4" s="183"/>
      <c r="C4" s="188">
        <f>IF(WEEKDAY(C3+2)=7,C3+4,IF(C3+2=1,C3+3,C3+2))</f>
        <v>36529</v>
      </c>
      <c r="D4" s="189" t="s">
        <v>65</v>
      </c>
      <c r="E4" s="190">
        <v>500</v>
      </c>
      <c r="F4" s="180"/>
      <c r="G4" s="180"/>
      <c r="H4" s="180"/>
      <c r="I4" s="185" t="s">
        <v>242</v>
      </c>
      <c r="J4" s="231"/>
      <c r="K4" s="186"/>
    </row>
    <row r="5" spans="1:11">
      <c r="A5" s="182" t="s">
        <v>66</v>
      </c>
      <c r="B5" s="183"/>
      <c r="C5" s="191">
        <v>95</v>
      </c>
      <c r="D5" s="189" t="s">
        <v>214</v>
      </c>
      <c r="E5" s="192">
        <v>0</v>
      </c>
      <c r="F5" s="189" t="s">
        <v>215</v>
      </c>
      <c r="G5" s="193">
        <v>50</v>
      </c>
      <c r="H5" s="180"/>
      <c r="I5" s="185" t="s">
        <v>243</v>
      </c>
      <c r="J5" s="231"/>
      <c r="K5" s="186"/>
    </row>
    <row r="6" spans="1:11">
      <c r="A6" s="185" t="s">
        <v>33</v>
      </c>
      <c r="B6" s="186"/>
      <c r="C6" s="194">
        <v>0.08</v>
      </c>
      <c r="D6" s="180"/>
      <c r="E6" s="180"/>
      <c r="F6" s="189" t="s">
        <v>216</v>
      </c>
      <c r="G6" s="193">
        <v>0</v>
      </c>
      <c r="H6" s="180"/>
      <c r="I6" s="185" t="s">
        <v>244</v>
      </c>
      <c r="J6" s="231"/>
      <c r="K6" s="186"/>
    </row>
    <row r="7" spans="1:11">
      <c r="A7" s="182" t="s">
        <v>68</v>
      </c>
      <c r="B7" s="183"/>
      <c r="C7" s="195">
        <v>36529</v>
      </c>
      <c r="D7" s="189" t="s">
        <v>217</v>
      </c>
      <c r="E7" s="193">
        <v>0</v>
      </c>
      <c r="F7" s="180"/>
      <c r="G7" s="180"/>
      <c r="H7" s="180"/>
      <c r="I7" s="232" t="s">
        <v>245</v>
      </c>
      <c r="J7" s="233"/>
      <c r="K7" s="234"/>
    </row>
    <row r="8" spans="1:11">
      <c r="A8" s="182" t="s">
        <v>218</v>
      </c>
      <c r="B8" s="183"/>
      <c r="C8" s="195">
        <v>36895</v>
      </c>
      <c r="D8" s="180"/>
      <c r="E8" s="180"/>
      <c r="F8" s="180"/>
      <c r="G8" s="180"/>
      <c r="H8" s="180"/>
      <c r="I8" s="196"/>
      <c r="J8" s="196"/>
      <c r="K8" s="196"/>
    </row>
    <row r="9" spans="1:11">
      <c r="A9" s="182" t="s">
        <v>219</v>
      </c>
      <c r="B9" s="183"/>
      <c r="C9" s="197">
        <v>1</v>
      </c>
      <c r="D9" s="198" t="s">
        <v>220</v>
      </c>
      <c r="E9" s="199">
        <f>E4*C5/100</f>
        <v>475</v>
      </c>
      <c r="F9" s="180"/>
      <c r="G9" s="180"/>
      <c r="H9" s="180"/>
      <c r="I9" s="196"/>
      <c r="J9" s="196"/>
      <c r="K9" s="196"/>
    </row>
    <row r="10" spans="1:11">
      <c r="A10" s="182" t="s">
        <v>70</v>
      </c>
      <c r="B10" s="183"/>
      <c r="C10" s="200">
        <v>38356</v>
      </c>
      <c r="D10" s="201" t="s">
        <v>75</v>
      </c>
      <c r="E10" s="199">
        <f>ROUND(C6*E4*YEARFRAC(C7,C4,1),2)</f>
        <v>0</v>
      </c>
      <c r="F10" s="202" t="s">
        <v>221</v>
      </c>
      <c r="G10" s="180"/>
      <c r="H10" s="202"/>
      <c r="I10" s="196"/>
      <c r="J10" s="196"/>
      <c r="K10" s="196"/>
    </row>
    <row r="11" spans="1:11">
      <c r="A11" s="182" t="s">
        <v>222</v>
      </c>
      <c r="B11" s="183"/>
      <c r="C11" s="191">
        <v>100</v>
      </c>
      <c r="D11" s="203" t="s">
        <v>223</v>
      </c>
      <c r="E11" s="204">
        <f>MAX(G6,MIN(MAX(C5,100)*E5/100*E4,G5))+E7</f>
        <v>0</v>
      </c>
      <c r="F11" s="201" t="str">
        <f>IF(C7&gt;C8,"&lt;-----------Fehler","Preis ohne Geb.")</f>
        <v>Preis ohne Geb.</v>
      </c>
      <c r="G11" s="205">
        <f>E9+E10</f>
        <v>475</v>
      </c>
      <c r="H11" s="202"/>
      <c r="I11" s="196"/>
      <c r="J11" s="196"/>
      <c r="K11" s="196"/>
    </row>
    <row r="12" spans="1:11">
      <c r="A12" s="206" t="s">
        <v>182</v>
      </c>
      <c r="B12" s="183"/>
      <c r="C12" s="207">
        <v>0</v>
      </c>
      <c r="D12" s="201" t="s">
        <v>224</v>
      </c>
      <c r="E12" s="199">
        <f>G11+E11</f>
        <v>475</v>
      </c>
      <c r="F12" s="202"/>
      <c r="G12" s="202"/>
      <c r="H12" s="180"/>
      <c r="I12" s="196"/>
      <c r="J12" s="196"/>
      <c r="K12" s="196"/>
    </row>
    <row r="13" spans="1:11">
      <c r="A13" s="208" t="s">
        <v>32</v>
      </c>
      <c r="B13" s="208"/>
      <c r="C13" s="209">
        <f>(C10-C4)/365</f>
        <v>5.0054794520547947</v>
      </c>
      <c r="D13" s="208" t="s">
        <v>225</v>
      </c>
      <c r="E13" s="208"/>
      <c r="F13" s="208"/>
      <c r="G13" s="208"/>
      <c r="H13" s="180"/>
      <c r="I13" s="196"/>
      <c r="J13" s="196"/>
      <c r="K13" s="196"/>
    </row>
    <row r="14" spans="1:11">
      <c r="A14" s="208"/>
      <c r="B14" s="208"/>
      <c r="C14" s="210"/>
      <c r="D14" s="180" t="str">
        <f>IF(A46=" "," ","Fälligkeit zu lang für Berechnung!")</f>
        <v xml:space="preserve"> </v>
      </c>
      <c r="E14" s="208"/>
      <c r="F14" s="208"/>
      <c r="G14" s="208"/>
      <c r="H14" s="196"/>
      <c r="I14" s="196"/>
      <c r="J14" s="196"/>
      <c r="K14" s="196"/>
    </row>
    <row r="15" spans="1:11">
      <c r="A15" s="208"/>
      <c r="B15" s="210"/>
      <c r="C15" s="210"/>
      <c r="D15" s="180"/>
      <c r="E15" s="208"/>
      <c r="F15" s="208"/>
      <c r="G15" s="208"/>
      <c r="H15" s="196"/>
      <c r="I15" s="196"/>
      <c r="J15" s="196"/>
      <c r="K15" s="196"/>
    </row>
    <row r="16" spans="1:11" ht="13.5" customHeight="1">
      <c r="A16" s="179" t="s">
        <v>226</v>
      </c>
      <c r="B16" s="180"/>
      <c r="C16" s="180"/>
      <c r="D16" s="180"/>
      <c r="E16" s="180"/>
      <c r="F16" s="208"/>
      <c r="G16" s="208"/>
      <c r="H16" s="208"/>
      <c r="I16" s="196"/>
      <c r="J16" s="196"/>
      <c r="K16" s="196"/>
    </row>
    <row r="17" spans="1:11" ht="44.25" customHeight="1">
      <c r="A17" s="211" t="s">
        <v>227</v>
      </c>
      <c r="B17" s="212" t="s">
        <v>228</v>
      </c>
      <c r="C17" s="213" t="s">
        <v>296</v>
      </c>
      <c r="D17" s="260"/>
      <c r="E17" s="213" t="s">
        <v>246</v>
      </c>
      <c r="F17" s="180"/>
      <c r="G17" s="180"/>
      <c r="H17" s="208"/>
      <c r="I17" s="196"/>
      <c r="J17" s="196"/>
      <c r="K17" s="196"/>
    </row>
    <row r="18" spans="1:11">
      <c r="A18" s="214">
        <v>0</v>
      </c>
      <c r="B18" s="188">
        <f>C4</f>
        <v>36529</v>
      </c>
      <c r="C18" s="235">
        <f>-E12</f>
        <v>-475</v>
      </c>
      <c r="D18" s="205"/>
      <c r="E18" s="235">
        <f>C18</f>
        <v>-475</v>
      </c>
      <c r="F18" s="180"/>
      <c r="G18" s="180"/>
      <c r="H18" s="208"/>
      <c r="I18" s="196"/>
      <c r="J18" s="196"/>
      <c r="K18" s="196"/>
    </row>
    <row r="19" spans="1:11" ht="4.5" customHeight="1">
      <c r="A19" s="214"/>
      <c r="B19" s="188"/>
      <c r="C19" s="235"/>
      <c r="D19" s="205"/>
      <c r="E19" s="235"/>
      <c r="F19" s="180"/>
      <c r="G19" s="180"/>
      <c r="H19" s="208"/>
      <c r="I19" s="196"/>
      <c r="J19" s="196"/>
      <c r="K19" s="196"/>
    </row>
    <row r="20" spans="1:11">
      <c r="A20" s="214">
        <v>1</v>
      </c>
      <c r="B20" s="188">
        <f>C8+IF(WEEKDAY(C8)=7,2,IF(WEEKDAY(C8)=1,1,0))</f>
        <v>36895</v>
      </c>
      <c r="C20" s="235">
        <f>$E$4*$C$6*YEARFRAC(C7,C8,4)+IF(B20=C10,$E$4*C11/100,0)</f>
        <v>40</v>
      </c>
      <c r="D20" s="205"/>
      <c r="E20" s="235">
        <f>$E$4*$C$6*YEARFRAC(C7,B20,4)+IF(B20=C10,$E$4*C11/100,0)</f>
        <v>40</v>
      </c>
      <c r="F20" s="180"/>
      <c r="G20" s="180"/>
      <c r="H20" s="208"/>
      <c r="I20" s="208"/>
      <c r="J20" s="196"/>
      <c r="K20" s="196"/>
    </row>
    <row r="21" spans="1:11">
      <c r="A21" s="214">
        <f>IF(A20=" "," ",IF(MAX(B17:B20)&gt;=$C$10," ",A20+1))</f>
        <v>2</v>
      </c>
      <c r="B21" s="188">
        <f t="shared" ref="B21:B45" si="0">IF(A21=" ",$B$18,EDATE($C$8,(A21-1)*12/$C$9)+IF(WEEKDAY(EDATE($C$8,(A21-1)*12/$C$9))=7,2,IF(WEEKDAY(EDATE($C$8,(A21-1)*12/$C$9))=1,1,0)))</f>
        <v>37260</v>
      </c>
      <c r="C21" s="235">
        <f t="shared" ref="C21:C31" si="1">IF(A21=" ",0,$E$4*$C$6/$C$9+IF(B21&gt;=$C$10,$C$11*$E$4/100,0))</f>
        <v>40</v>
      </c>
      <c r="D21" s="205"/>
      <c r="E21" s="235">
        <f t="shared" ref="E21:E45" si="2">IF(A21=" "," ",$E$4*$C$6*YEARFRAC(B20,B21,4)+IF(B21&gt;=$C$10,$C$11*$E$4/100,0))</f>
        <v>40</v>
      </c>
      <c r="F21" s="180"/>
      <c r="G21" s="180"/>
      <c r="H21" s="208"/>
      <c r="I21" s="208"/>
      <c r="J21" s="196"/>
      <c r="K21" s="196"/>
    </row>
    <row r="22" spans="1:11">
      <c r="A22" s="214">
        <f>IF(A21=" "," ",IF(MAX(B18:B21)&gt;=$C$10," ",A21+1))</f>
        <v>3</v>
      </c>
      <c r="B22" s="188">
        <f t="shared" si="0"/>
        <v>37627</v>
      </c>
      <c r="C22" s="235">
        <f t="shared" si="1"/>
        <v>40</v>
      </c>
      <c r="D22" s="205"/>
      <c r="E22" s="235">
        <f t="shared" si="2"/>
        <v>40.222222222222221</v>
      </c>
      <c r="F22" s="180"/>
      <c r="G22" s="180"/>
      <c r="H22" s="208"/>
      <c r="I22" s="208"/>
      <c r="J22" s="196"/>
      <c r="K22" s="196"/>
    </row>
    <row r="23" spans="1:11">
      <c r="A23" s="214">
        <f t="shared" ref="A23:A46" si="3">IF(A22=" "," ",IF(MAX(B20:B22)&gt;=$C$10," ",A22+1))</f>
        <v>4</v>
      </c>
      <c r="B23" s="188">
        <f t="shared" si="0"/>
        <v>37991</v>
      </c>
      <c r="C23" s="235">
        <f t="shared" si="1"/>
        <v>40</v>
      </c>
      <c r="D23" s="205"/>
      <c r="E23" s="235">
        <f t="shared" si="2"/>
        <v>39.888888888888886</v>
      </c>
      <c r="F23" s="180"/>
      <c r="G23" s="180"/>
      <c r="H23" s="180"/>
      <c r="I23" s="180"/>
      <c r="J23" s="180"/>
      <c r="K23" s="196"/>
    </row>
    <row r="24" spans="1:11">
      <c r="A24" s="214">
        <f t="shared" si="3"/>
        <v>5</v>
      </c>
      <c r="B24" s="188">
        <f t="shared" si="0"/>
        <v>38356</v>
      </c>
      <c r="C24" s="235">
        <f t="shared" si="1"/>
        <v>540</v>
      </c>
      <c r="D24" s="205"/>
      <c r="E24" s="235">
        <f t="shared" si="2"/>
        <v>539.88888888888891</v>
      </c>
      <c r="F24" s="180"/>
      <c r="G24" s="180"/>
      <c r="H24" s="202"/>
      <c r="I24" s="180"/>
      <c r="J24" s="180"/>
      <c r="K24" s="196"/>
    </row>
    <row r="25" spans="1:11">
      <c r="A25" s="214" t="str">
        <f t="shared" si="3"/>
        <v xml:space="preserve"> </v>
      </c>
      <c r="B25" s="188">
        <f t="shared" si="0"/>
        <v>36529</v>
      </c>
      <c r="C25" s="235">
        <f t="shared" si="1"/>
        <v>0</v>
      </c>
      <c r="D25" s="205"/>
      <c r="E25" s="235" t="str">
        <f t="shared" si="2"/>
        <v xml:space="preserve"> </v>
      </c>
      <c r="F25" s="210"/>
      <c r="G25" s="210"/>
      <c r="H25" s="210"/>
      <c r="I25" s="210"/>
      <c r="J25" s="210"/>
      <c r="K25" s="196"/>
    </row>
    <row r="26" spans="1:11">
      <c r="A26" s="214" t="str">
        <f t="shared" si="3"/>
        <v xml:space="preserve"> </v>
      </c>
      <c r="B26" s="188">
        <f t="shared" si="0"/>
        <v>36529</v>
      </c>
      <c r="C26" s="235">
        <f t="shared" si="1"/>
        <v>0</v>
      </c>
      <c r="D26" s="205"/>
      <c r="E26" s="235" t="str">
        <f t="shared" si="2"/>
        <v xml:space="preserve"> </v>
      </c>
      <c r="F26" s="210"/>
      <c r="G26" s="210"/>
      <c r="H26" s="210"/>
      <c r="I26" s="210"/>
      <c r="J26" s="210"/>
      <c r="K26" s="196"/>
    </row>
    <row r="27" spans="1:11">
      <c r="A27" s="214" t="str">
        <f t="shared" si="3"/>
        <v xml:space="preserve"> </v>
      </c>
      <c r="B27" s="188">
        <f t="shared" si="0"/>
        <v>36529</v>
      </c>
      <c r="C27" s="235">
        <f t="shared" si="1"/>
        <v>0</v>
      </c>
      <c r="D27" s="205"/>
      <c r="E27" s="235" t="str">
        <f t="shared" si="2"/>
        <v xml:space="preserve"> </v>
      </c>
      <c r="F27" s="216"/>
      <c r="G27" s="216"/>
      <c r="H27" s="210"/>
      <c r="I27" s="216"/>
      <c r="J27" s="210"/>
      <c r="K27" s="196"/>
    </row>
    <row r="28" spans="1:11">
      <c r="A28" s="214" t="str">
        <f t="shared" si="3"/>
        <v xml:space="preserve"> </v>
      </c>
      <c r="B28" s="188">
        <f t="shared" si="0"/>
        <v>36529</v>
      </c>
      <c r="C28" s="235">
        <f t="shared" si="1"/>
        <v>0</v>
      </c>
      <c r="D28" s="205"/>
      <c r="E28" s="235" t="str">
        <f t="shared" si="2"/>
        <v xml:space="preserve"> </v>
      </c>
      <c r="F28" s="216"/>
      <c r="G28" s="216"/>
      <c r="H28" s="210"/>
      <c r="I28" s="216"/>
      <c r="J28" s="210"/>
      <c r="K28" s="196"/>
    </row>
    <row r="29" spans="1:11">
      <c r="A29" s="214" t="str">
        <f t="shared" si="3"/>
        <v xml:space="preserve"> </v>
      </c>
      <c r="B29" s="188">
        <f t="shared" si="0"/>
        <v>36529</v>
      </c>
      <c r="C29" s="235">
        <f t="shared" si="1"/>
        <v>0</v>
      </c>
      <c r="D29" s="205"/>
      <c r="E29" s="235" t="str">
        <f t="shared" si="2"/>
        <v xml:space="preserve"> </v>
      </c>
      <c r="F29" s="216"/>
      <c r="G29" s="216"/>
      <c r="H29" s="210"/>
      <c r="I29" s="210"/>
      <c r="J29" s="210"/>
      <c r="K29" s="196"/>
    </row>
    <row r="30" spans="1:11">
      <c r="A30" s="214" t="str">
        <f t="shared" si="3"/>
        <v xml:space="preserve"> </v>
      </c>
      <c r="B30" s="188">
        <f t="shared" si="0"/>
        <v>36529</v>
      </c>
      <c r="C30" s="235">
        <f t="shared" si="1"/>
        <v>0</v>
      </c>
      <c r="D30" s="205"/>
      <c r="E30" s="235" t="str">
        <f t="shared" si="2"/>
        <v xml:space="preserve"> </v>
      </c>
      <c r="F30" s="210"/>
      <c r="G30" s="210"/>
      <c r="H30" s="210"/>
      <c r="I30" s="210"/>
      <c r="J30" s="210"/>
      <c r="K30" s="196"/>
    </row>
    <row r="31" spans="1:11">
      <c r="A31" s="214" t="str">
        <f t="shared" si="3"/>
        <v xml:space="preserve"> </v>
      </c>
      <c r="B31" s="188">
        <f t="shared" si="0"/>
        <v>36529</v>
      </c>
      <c r="C31" s="235">
        <f t="shared" si="1"/>
        <v>0</v>
      </c>
      <c r="D31" s="205"/>
      <c r="E31" s="235" t="str">
        <f t="shared" si="2"/>
        <v xml:space="preserve"> </v>
      </c>
      <c r="F31" s="216"/>
      <c r="G31" s="216"/>
      <c r="H31" s="210"/>
      <c r="I31" s="210"/>
      <c r="J31" s="210"/>
      <c r="K31" s="196"/>
    </row>
    <row r="32" spans="1:11">
      <c r="A32" s="214" t="str">
        <f t="shared" si="3"/>
        <v xml:space="preserve"> </v>
      </c>
      <c r="B32" s="188">
        <f t="shared" si="0"/>
        <v>36529</v>
      </c>
      <c r="C32" s="235" t="str">
        <f t="shared" ref="C32:C45" si="4">IF(A32=" "," ",$E$4*$C$6/$C$9+IF(B32&gt;=$C$10,$C$11*$E$4/100,0))</f>
        <v xml:space="preserve"> </v>
      </c>
      <c r="D32" s="205"/>
      <c r="E32" s="235" t="str">
        <f t="shared" si="2"/>
        <v xml:space="preserve"> </v>
      </c>
      <c r="F32" s="216"/>
      <c r="G32" s="216"/>
      <c r="H32" s="210"/>
      <c r="I32" s="210"/>
      <c r="J32" s="210"/>
      <c r="K32" s="196"/>
    </row>
    <row r="33" spans="1:11">
      <c r="A33" s="214" t="str">
        <f t="shared" si="3"/>
        <v xml:space="preserve"> </v>
      </c>
      <c r="B33" s="188">
        <f t="shared" si="0"/>
        <v>36529</v>
      </c>
      <c r="C33" s="235" t="str">
        <f t="shared" si="4"/>
        <v xml:space="preserve"> </v>
      </c>
      <c r="D33" s="205"/>
      <c r="E33" s="235" t="str">
        <f t="shared" si="2"/>
        <v xml:space="preserve"> </v>
      </c>
      <c r="F33" s="216"/>
      <c r="G33" s="216"/>
      <c r="H33" s="210"/>
      <c r="I33" s="210"/>
      <c r="J33" s="210"/>
      <c r="K33" s="196"/>
    </row>
    <row r="34" spans="1:11">
      <c r="A34" s="214" t="str">
        <f t="shared" si="3"/>
        <v xml:space="preserve"> </v>
      </c>
      <c r="B34" s="188">
        <f t="shared" si="0"/>
        <v>36529</v>
      </c>
      <c r="C34" s="235" t="str">
        <f t="shared" si="4"/>
        <v xml:space="preserve"> </v>
      </c>
      <c r="D34" s="205"/>
      <c r="E34" s="235" t="str">
        <f t="shared" si="2"/>
        <v xml:space="preserve"> </v>
      </c>
      <c r="F34" s="216"/>
      <c r="G34" s="216"/>
      <c r="H34" s="210"/>
      <c r="I34" s="210"/>
      <c r="J34" s="210"/>
      <c r="K34" s="196"/>
    </row>
    <row r="35" spans="1:11">
      <c r="A35" s="214" t="str">
        <f t="shared" si="3"/>
        <v xml:space="preserve"> </v>
      </c>
      <c r="B35" s="188">
        <f t="shared" si="0"/>
        <v>36529</v>
      </c>
      <c r="C35" s="235" t="str">
        <f t="shared" si="4"/>
        <v xml:space="preserve"> </v>
      </c>
      <c r="D35" s="205"/>
      <c r="E35" s="235" t="str">
        <f t="shared" si="2"/>
        <v xml:space="preserve"> </v>
      </c>
      <c r="F35" s="216"/>
      <c r="G35" s="216"/>
      <c r="H35" s="210"/>
      <c r="I35" s="210"/>
      <c r="J35" s="210"/>
      <c r="K35" s="196"/>
    </row>
    <row r="36" spans="1:11">
      <c r="A36" s="214" t="str">
        <f t="shared" si="3"/>
        <v xml:space="preserve"> </v>
      </c>
      <c r="B36" s="188">
        <f t="shared" si="0"/>
        <v>36529</v>
      </c>
      <c r="C36" s="235" t="str">
        <f t="shared" si="4"/>
        <v xml:space="preserve"> </v>
      </c>
      <c r="D36" s="205"/>
      <c r="E36" s="235" t="str">
        <f t="shared" si="2"/>
        <v xml:space="preserve"> </v>
      </c>
      <c r="F36" s="216"/>
      <c r="G36" s="216"/>
      <c r="H36" s="210"/>
      <c r="I36" s="210"/>
      <c r="J36" s="210"/>
      <c r="K36" s="196"/>
    </row>
    <row r="37" spans="1:11">
      <c r="A37" s="214" t="str">
        <f t="shared" si="3"/>
        <v xml:space="preserve"> </v>
      </c>
      <c r="B37" s="188">
        <f t="shared" si="0"/>
        <v>36529</v>
      </c>
      <c r="C37" s="235" t="str">
        <f t="shared" si="4"/>
        <v xml:space="preserve"> </v>
      </c>
      <c r="D37" s="205"/>
      <c r="E37" s="235" t="str">
        <f t="shared" si="2"/>
        <v xml:space="preserve"> </v>
      </c>
      <c r="F37" s="216"/>
      <c r="G37" s="216"/>
      <c r="H37" s="210"/>
      <c r="I37" s="210"/>
      <c r="J37" s="210"/>
      <c r="K37" s="196"/>
    </row>
    <row r="38" spans="1:11">
      <c r="A38" s="214" t="str">
        <f t="shared" si="3"/>
        <v xml:space="preserve"> </v>
      </c>
      <c r="B38" s="188">
        <f t="shared" si="0"/>
        <v>36529</v>
      </c>
      <c r="C38" s="235" t="str">
        <f t="shared" si="4"/>
        <v xml:space="preserve"> </v>
      </c>
      <c r="D38" s="205"/>
      <c r="E38" s="235" t="str">
        <f t="shared" si="2"/>
        <v xml:space="preserve"> </v>
      </c>
      <c r="F38" s="216"/>
      <c r="G38" s="216"/>
      <c r="H38" s="210"/>
      <c r="I38" s="210"/>
      <c r="J38" s="210"/>
      <c r="K38" s="196"/>
    </row>
    <row r="39" spans="1:11">
      <c r="A39" s="214" t="str">
        <f t="shared" si="3"/>
        <v xml:space="preserve"> </v>
      </c>
      <c r="B39" s="188">
        <f t="shared" si="0"/>
        <v>36529</v>
      </c>
      <c r="C39" s="235" t="str">
        <f t="shared" si="4"/>
        <v xml:space="preserve"> </v>
      </c>
      <c r="D39" s="205"/>
      <c r="E39" s="235" t="str">
        <f t="shared" si="2"/>
        <v xml:space="preserve"> </v>
      </c>
      <c r="F39" s="216"/>
      <c r="G39" s="216"/>
      <c r="H39" s="210"/>
      <c r="I39" s="210"/>
      <c r="J39" s="210"/>
      <c r="K39" s="196"/>
    </row>
    <row r="40" spans="1:11">
      <c r="A40" s="214" t="str">
        <f t="shared" si="3"/>
        <v xml:space="preserve"> </v>
      </c>
      <c r="B40" s="188">
        <f t="shared" si="0"/>
        <v>36529</v>
      </c>
      <c r="C40" s="235" t="str">
        <f t="shared" si="4"/>
        <v xml:space="preserve"> </v>
      </c>
      <c r="D40" s="205"/>
      <c r="E40" s="235" t="str">
        <f t="shared" si="2"/>
        <v xml:space="preserve"> </v>
      </c>
      <c r="F40" s="216"/>
      <c r="G40" s="216"/>
      <c r="H40" s="210"/>
      <c r="I40" s="210"/>
      <c r="J40" s="210"/>
      <c r="K40" s="196"/>
    </row>
    <row r="41" spans="1:11">
      <c r="A41" s="214" t="str">
        <f t="shared" si="3"/>
        <v xml:space="preserve"> </v>
      </c>
      <c r="B41" s="188">
        <f t="shared" si="0"/>
        <v>36529</v>
      </c>
      <c r="C41" s="235" t="str">
        <f t="shared" si="4"/>
        <v xml:space="preserve"> </v>
      </c>
      <c r="D41" s="205"/>
      <c r="E41" s="235" t="str">
        <f t="shared" si="2"/>
        <v xml:space="preserve"> </v>
      </c>
      <c r="F41" s="216"/>
      <c r="G41" s="216"/>
      <c r="H41" s="210"/>
      <c r="I41" s="210"/>
      <c r="J41" s="210"/>
      <c r="K41" s="196"/>
    </row>
    <row r="42" spans="1:11">
      <c r="A42" s="214" t="str">
        <f t="shared" si="3"/>
        <v xml:space="preserve"> </v>
      </c>
      <c r="B42" s="188">
        <f t="shared" si="0"/>
        <v>36529</v>
      </c>
      <c r="C42" s="235" t="str">
        <f t="shared" si="4"/>
        <v xml:space="preserve"> </v>
      </c>
      <c r="D42" s="205"/>
      <c r="E42" s="235" t="str">
        <f t="shared" si="2"/>
        <v xml:space="preserve"> </v>
      </c>
      <c r="F42" s="216"/>
      <c r="G42" s="216"/>
      <c r="H42" s="210"/>
      <c r="I42" s="210"/>
      <c r="J42" s="210"/>
      <c r="K42" s="196"/>
    </row>
    <row r="43" spans="1:11">
      <c r="A43" s="214" t="str">
        <f t="shared" si="3"/>
        <v xml:space="preserve"> </v>
      </c>
      <c r="B43" s="188">
        <f t="shared" si="0"/>
        <v>36529</v>
      </c>
      <c r="C43" s="235" t="str">
        <f t="shared" si="4"/>
        <v xml:space="preserve"> </v>
      </c>
      <c r="D43" s="205"/>
      <c r="E43" s="235" t="str">
        <f t="shared" si="2"/>
        <v xml:space="preserve"> </v>
      </c>
      <c r="F43" s="216"/>
      <c r="G43" s="216"/>
      <c r="H43" s="210"/>
      <c r="I43" s="210"/>
      <c r="J43" s="210"/>
      <c r="K43" s="196"/>
    </row>
    <row r="44" spans="1:11">
      <c r="A44" s="214" t="str">
        <f t="shared" si="3"/>
        <v xml:space="preserve"> </v>
      </c>
      <c r="B44" s="188">
        <f t="shared" si="0"/>
        <v>36529</v>
      </c>
      <c r="C44" s="235" t="str">
        <f t="shared" si="4"/>
        <v xml:space="preserve"> </v>
      </c>
      <c r="D44" s="205"/>
      <c r="E44" s="235" t="str">
        <f t="shared" si="2"/>
        <v xml:space="preserve"> </v>
      </c>
      <c r="F44" s="216"/>
      <c r="G44" s="216"/>
      <c r="H44" s="210"/>
      <c r="I44" s="210"/>
      <c r="J44" s="210"/>
      <c r="K44" s="196"/>
    </row>
    <row r="45" spans="1:11">
      <c r="A45" s="214" t="str">
        <f t="shared" si="3"/>
        <v xml:space="preserve"> </v>
      </c>
      <c r="B45" s="188">
        <f t="shared" si="0"/>
        <v>36529</v>
      </c>
      <c r="C45" s="235" t="str">
        <f t="shared" si="4"/>
        <v xml:space="preserve"> </v>
      </c>
      <c r="D45" s="205"/>
      <c r="E45" s="235" t="str">
        <f t="shared" si="2"/>
        <v xml:space="preserve"> </v>
      </c>
      <c r="F45" s="216"/>
      <c r="G45" s="216"/>
      <c r="H45" s="210"/>
      <c r="I45" s="210"/>
      <c r="J45" s="210"/>
      <c r="K45" s="196"/>
    </row>
    <row r="46" spans="1:11">
      <c r="A46" s="217" t="str">
        <f t="shared" si="3"/>
        <v xml:space="preserve"> </v>
      </c>
    </row>
  </sheetData>
  <phoneticPr fontId="2" type="noConversion"/>
  <conditionalFormatting sqref="C21:D45">
    <cfRule type="cellIs" dxfId="2" priority="1" stopIfTrue="1" operator="equal">
      <formula>0</formula>
    </cfRule>
  </conditionalFormatting>
  <conditionalFormatting sqref="B21:B45">
    <cfRule type="cellIs" dxfId="1" priority="2" stopIfTrue="1" operator="equal">
      <formula>$B$18</formula>
    </cfRule>
  </conditionalFormatting>
  <printOptions gridLines="1"/>
  <pageMargins left="0.78740157499999996" right="0.78740157499999996" top="0.984251969" bottom="0.984251969" header="0.51181102300000003" footer="0.51181102300000003"/>
  <pageSetup paperSize="9" orientation="portrait" horizontalDpi="4294967292" verticalDpi="300" r:id="rId1"/>
  <headerFooter alignWithMargins="0">
    <oddHeader>&amp;C&amp;F             &amp;A</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B3" sqref="B3"/>
    </sheetView>
  </sheetViews>
  <sheetFormatPr baseColWidth="10" defaultRowHeight="12.75"/>
  <cols>
    <col min="6" max="6" width="12.7109375" customWidth="1"/>
  </cols>
  <sheetData>
    <row r="1" spans="1:7">
      <c r="A1" s="8" t="s">
        <v>49</v>
      </c>
      <c r="B1" s="9"/>
      <c r="C1" s="9"/>
      <c r="D1" s="9"/>
      <c r="E1" s="9"/>
      <c r="F1" s="9"/>
      <c r="G1" s="9"/>
    </row>
    <row r="2" spans="1:7">
      <c r="A2" s="9"/>
      <c r="B2" s="9"/>
      <c r="C2" s="9"/>
      <c r="D2" s="9"/>
      <c r="E2" s="9"/>
      <c r="F2" s="9"/>
      <c r="G2" s="9"/>
    </row>
    <row r="3" spans="1:7">
      <c r="A3" s="9" t="s">
        <v>50</v>
      </c>
      <c r="B3" s="17">
        <v>100000</v>
      </c>
      <c r="C3" s="8" t="s">
        <v>51</v>
      </c>
      <c r="D3" s="9"/>
      <c r="E3" s="9"/>
      <c r="F3" s="9"/>
      <c r="G3" s="9"/>
    </row>
    <row r="4" spans="1:7">
      <c r="A4" s="9"/>
      <c r="B4" s="9"/>
      <c r="C4" s="9"/>
      <c r="D4" s="9"/>
      <c r="E4" s="9"/>
      <c r="F4" s="69" t="s">
        <v>5</v>
      </c>
      <c r="G4" s="9"/>
    </row>
    <row r="5" spans="1:7">
      <c r="A5" s="9"/>
      <c r="B5" s="138" t="s">
        <v>52</v>
      </c>
      <c r="C5" s="270">
        <v>36733</v>
      </c>
      <c r="D5" s="270">
        <v>36764</v>
      </c>
      <c r="E5" s="9"/>
      <c r="F5" s="117" t="s">
        <v>30</v>
      </c>
      <c r="G5" s="9"/>
    </row>
    <row r="6" spans="1:7" ht="24" customHeight="1">
      <c r="A6" s="49" t="s">
        <v>53</v>
      </c>
      <c r="B6" s="49" t="s">
        <v>24</v>
      </c>
      <c r="C6" s="295" t="s">
        <v>54</v>
      </c>
      <c r="D6" s="295" t="s">
        <v>55</v>
      </c>
      <c r="E6" s="10" t="s">
        <v>352</v>
      </c>
      <c r="F6" s="48" t="s">
        <v>56</v>
      </c>
      <c r="G6" s="9"/>
    </row>
    <row r="7" spans="1:7">
      <c r="A7" s="19" t="s">
        <v>57</v>
      </c>
      <c r="B7" s="19" t="s">
        <v>58</v>
      </c>
      <c r="C7" s="19">
        <v>1.0885</v>
      </c>
      <c r="D7" s="19">
        <v>1.0641</v>
      </c>
      <c r="E7" s="36">
        <v>5.0000000000000001E-4</v>
      </c>
      <c r="F7" s="11">
        <f>$B$3*C7*(1+E7*DAYS360($C$5,$D$5)/360)/D7</f>
        <v>102297.27978260188</v>
      </c>
      <c r="G7" s="9"/>
    </row>
    <row r="8" spans="1:7">
      <c r="A8" s="19" t="s">
        <v>61</v>
      </c>
      <c r="B8" s="19" t="s">
        <v>62</v>
      </c>
      <c r="C8" s="269">
        <v>1.1378999999999999</v>
      </c>
      <c r="D8" s="19">
        <v>1.1592</v>
      </c>
      <c r="E8" s="36">
        <v>1.7999999999999999E-2</v>
      </c>
      <c r="F8" s="11">
        <f>$B$3*C8*(1+E8*DAYS360($C$5,$D$5)/360)/D8</f>
        <v>98309.769668737063</v>
      </c>
      <c r="G8" s="9"/>
    </row>
    <row r="9" spans="1:7">
      <c r="A9" s="19" t="s">
        <v>63</v>
      </c>
      <c r="B9" s="37" t="s">
        <v>64</v>
      </c>
      <c r="C9" s="19">
        <v>1</v>
      </c>
      <c r="D9" s="19">
        <v>1</v>
      </c>
      <c r="E9" s="36">
        <v>1.0999999999999999E-2</v>
      </c>
      <c r="F9" s="11">
        <f>$B$3*C9*(1+E9*DAYS360($C$5,$D$5)/360)/D9</f>
        <v>100091.66666666667</v>
      </c>
      <c r="G9" s="9"/>
    </row>
    <row r="10" spans="1:7">
      <c r="A10" s="9"/>
      <c r="B10" s="9"/>
      <c r="C10" s="9"/>
      <c r="D10" s="9"/>
      <c r="E10" s="9"/>
      <c r="F10" s="9"/>
      <c r="G10" s="9"/>
    </row>
    <row r="11" spans="1:7">
      <c r="A11" s="9" t="s">
        <v>354</v>
      </c>
      <c r="B11" s="9"/>
      <c r="C11" s="9"/>
      <c r="D11" s="9"/>
      <c r="E11" s="9"/>
      <c r="F11" s="9"/>
      <c r="G11" s="9"/>
    </row>
    <row r="12" spans="1:7">
      <c r="A12" s="9" t="s">
        <v>333</v>
      </c>
      <c r="B12" s="9"/>
      <c r="C12" s="9"/>
      <c r="D12" s="9"/>
      <c r="E12" s="9"/>
      <c r="F12" s="9"/>
      <c r="G12" s="9"/>
    </row>
    <row r="15" spans="1:7">
      <c r="A15" s="8" t="s">
        <v>353</v>
      </c>
      <c r="B15" s="9"/>
      <c r="C15" s="9"/>
      <c r="D15" s="9"/>
      <c r="E15" s="9"/>
      <c r="F15" s="9"/>
      <c r="G15" s="9"/>
    </row>
    <row r="16" spans="1:7">
      <c r="A16" s="9"/>
      <c r="B16" s="9"/>
      <c r="C16" s="9"/>
      <c r="D16" s="9"/>
      <c r="E16" s="9"/>
      <c r="F16" s="9"/>
      <c r="G16" s="9"/>
    </row>
    <row r="17" spans="1:7">
      <c r="A17" s="9" t="s">
        <v>50</v>
      </c>
      <c r="B17" s="17">
        <v>100000</v>
      </c>
      <c r="C17" s="8" t="s">
        <v>51</v>
      </c>
      <c r="D17" s="9"/>
      <c r="E17" s="9"/>
      <c r="F17" s="9"/>
      <c r="G17" s="9"/>
    </row>
    <row r="18" spans="1:7">
      <c r="A18" s="9"/>
      <c r="B18" s="9"/>
      <c r="C18" s="9"/>
      <c r="D18" s="9"/>
      <c r="E18" s="9"/>
      <c r="F18" s="69" t="s">
        <v>5</v>
      </c>
      <c r="G18" s="9"/>
    </row>
    <row r="19" spans="1:7">
      <c r="A19" s="9"/>
      <c r="B19" s="138" t="s">
        <v>52</v>
      </c>
      <c r="C19" s="270">
        <v>36733</v>
      </c>
      <c r="D19" s="270">
        <v>36764</v>
      </c>
      <c r="E19" s="9"/>
      <c r="F19" s="117" t="s">
        <v>30</v>
      </c>
      <c r="G19" s="9"/>
    </row>
    <row r="20" spans="1:7">
      <c r="A20" s="49" t="s">
        <v>53</v>
      </c>
      <c r="B20" s="49" t="s">
        <v>24</v>
      </c>
      <c r="C20" s="16" t="s">
        <v>54</v>
      </c>
      <c r="D20" s="16" t="s">
        <v>55</v>
      </c>
      <c r="E20" s="16" t="s">
        <v>33</v>
      </c>
      <c r="F20" s="48" t="s">
        <v>56</v>
      </c>
      <c r="G20" s="9"/>
    </row>
    <row r="21" spans="1:7">
      <c r="A21" s="19" t="s">
        <v>57</v>
      </c>
      <c r="B21" s="19" t="s">
        <v>58</v>
      </c>
      <c r="C21" s="19">
        <v>1.6036999999999999</v>
      </c>
      <c r="D21" s="19">
        <v>1.6025</v>
      </c>
      <c r="E21" s="36">
        <v>8.9999999999999993E-3</v>
      </c>
      <c r="F21" s="11">
        <f>$B$3*C21*(1+E21*DAYS360($C$5,$D$5)/360)/D21</f>
        <v>100149.9391575663</v>
      </c>
      <c r="G21" s="9"/>
    </row>
    <row r="22" spans="1:7">
      <c r="A22" s="19" t="s">
        <v>59</v>
      </c>
      <c r="B22" s="19" t="s">
        <v>60</v>
      </c>
      <c r="C22" s="19">
        <v>1.1760999999999999</v>
      </c>
      <c r="D22" s="19">
        <v>1.1961999999999999</v>
      </c>
      <c r="E22" s="36">
        <v>4.7E-2</v>
      </c>
      <c r="F22" s="11">
        <f>$B$3*C22*(1+E22*DAYS360($C$5,$D$5)/360)/D22</f>
        <v>98704.764392799407</v>
      </c>
      <c r="G22" s="9"/>
    </row>
    <row r="23" spans="1:7">
      <c r="A23" s="19" t="s">
        <v>61</v>
      </c>
      <c r="B23" s="19" t="s">
        <v>62</v>
      </c>
      <c r="C23" s="269">
        <v>1.262</v>
      </c>
      <c r="D23" s="19">
        <v>1.2991999999999999</v>
      </c>
      <c r="E23" s="36">
        <v>5.0999999999999997E-2</v>
      </c>
      <c r="F23" s="11">
        <f>$B$3*C23*(1+E23*DAYS360($C$5,$D$5)/360)/D23</f>
        <v>97549.53048029558</v>
      </c>
      <c r="G23" s="9"/>
    </row>
    <row r="24" spans="1:7">
      <c r="A24" s="19" t="s">
        <v>63</v>
      </c>
      <c r="B24" s="37" t="s">
        <v>64</v>
      </c>
      <c r="C24" s="19">
        <v>1</v>
      </c>
      <c r="D24" s="19">
        <v>1</v>
      </c>
      <c r="E24" s="36">
        <v>2.5000000000000001E-2</v>
      </c>
      <c r="F24" s="11">
        <f>$B$3*C24*(1+E24*DAYS360($C$5,$D$5)/360)/D24</f>
        <v>100208.33333333334</v>
      </c>
      <c r="G24" s="9"/>
    </row>
    <row r="25" spans="1:7">
      <c r="A25" s="9"/>
      <c r="B25" s="9"/>
      <c r="C25" s="9"/>
      <c r="D25" s="9"/>
      <c r="E25" s="9"/>
      <c r="F25" s="9"/>
      <c r="G25" s="9"/>
    </row>
    <row r="26" spans="1:7">
      <c r="A26" s="9" t="s">
        <v>354</v>
      </c>
      <c r="B26" s="9"/>
      <c r="C26" s="9"/>
      <c r="D26" s="9"/>
      <c r="E26" s="9"/>
      <c r="F26" s="9"/>
      <c r="G26" s="9"/>
    </row>
    <row r="27" spans="1:7">
      <c r="A27" s="9" t="s">
        <v>333</v>
      </c>
      <c r="B27" s="9"/>
      <c r="C27" s="9"/>
      <c r="D27" s="9"/>
      <c r="E27" s="9"/>
      <c r="F27" s="9"/>
      <c r="G27" s="9"/>
    </row>
  </sheetData>
  <phoneticPr fontId="0" type="noConversion"/>
  <pageMargins left="0.78740157499999996" right="0.78740157499999996" top="0.984251969" bottom="0.984251969" header="0.51181102300000003" footer="0.51181102300000003"/>
  <pageSetup paperSize="9" orientation="portrait" horizontalDpi="4294967292" verticalDpi="300" r:id="rId1"/>
  <headerFooter alignWithMargins="0">
    <oddHeader>&amp;C&amp;F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election activeCell="B4" sqref="B4"/>
    </sheetView>
  </sheetViews>
  <sheetFormatPr baseColWidth="10" defaultRowHeight="12.75"/>
  <cols>
    <col min="1" max="1" width="14.7109375" customWidth="1"/>
    <col min="2" max="2" width="10.85546875" customWidth="1"/>
    <col min="3" max="3" width="11.85546875" customWidth="1"/>
    <col min="4" max="4" width="18.5703125" customWidth="1"/>
  </cols>
  <sheetData>
    <row r="1" spans="1:4">
      <c r="A1" s="8" t="s">
        <v>88</v>
      </c>
      <c r="B1" s="9"/>
      <c r="C1" s="9"/>
      <c r="D1" s="9"/>
    </row>
    <row r="2" spans="1:4">
      <c r="A2" s="9"/>
      <c r="B2" s="9"/>
      <c r="C2" s="9"/>
      <c r="D2" s="9"/>
    </row>
    <row r="3" spans="1:4" ht="27" customHeight="1">
      <c r="A3" s="10" t="s">
        <v>31</v>
      </c>
      <c r="B3" s="10" t="s">
        <v>33</v>
      </c>
      <c r="C3" s="10" t="s">
        <v>306</v>
      </c>
      <c r="D3" s="10" t="s">
        <v>89</v>
      </c>
    </row>
    <row r="4" spans="1:4">
      <c r="A4" s="17">
        <v>200</v>
      </c>
      <c r="B4" s="18">
        <v>0.03</v>
      </c>
      <c r="C4" s="19">
        <v>2</v>
      </c>
      <c r="D4" s="11">
        <f>A4*(1+B4)^C4</f>
        <v>212.17999999999998</v>
      </c>
    </row>
    <row r="5" spans="1:4">
      <c r="A5" s="17">
        <v>200</v>
      </c>
      <c r="B5" s="20">
        <v>0.03</v>
      </c>
      <c r="C5" s="19">
        <v>3</v>
      </c>
      <c r="D5" s="11">
        <f>A5*(1+B5)^C5</f>
        <v>218.5454</v>
      </c>
    </row>
    <row r="6" spans="1:4">
      <c r="A6" s="17">
        <v>200</v>
      </c>
      <c r="B6" s="20">
        <v>0.03</v>
      </c>
      <c r="C6" s="19">
        <v>24</v>
      </c>
      <c r="D6" s="11">
        <f>A6*(1+B6)^C6</f>
        <v>406.55882129208038</v>
      </c>
    </row>
    <row r="7" spans="1:4">
      <c r="A7" s="17">
        <v>200</v>
      </c>
      <c r="B7" s="20">
        <f>3%/12</f>
        <v>2.5000000000000001E-3</v>
      </c>
      <c r="C7" s="19">
        <v>24</v>
      </c>
      <c r="D7" s="11">
        <f>A7*(1+B7)^C7</f>
        <v>212.35140885239554</v>
      </c>
    </row>
    <row r="8" spans="1:4">
      <c r="A8" s="9"/>
      <c r="B8" s="9"/>
      <c r="C8" s="9"/>
      <c r="D8" s="9"/>
    </row>
    <row r="9" spans="1:4" ht="27" customHeight="1">
      <c r="A9" s="10" t="s">
        <v>30</v>
      </c>
      <c r="B9" s="10" t="s">
        <v>33</v>
      </c>
      <c r="C9" s="10" t="s">
        <v>306</v>
      </c>
      <c r="D9" s="10" t="s">
        <v>90</v>
      </c>
    </row>
    <row r="10" spans="1:4">
      <c r="A10" s="17">
        <v>220</v>
      </c>
      <c r="B10" s="21">
        <v>0.03</v>
      </c>
      <c r="C10" s="19">
        <v>2</v>
      </c>
      <c r="D10" s="11">
        <f>A10/(1+B10)^C10</f>
        <v>207.37110000942596</v>
      </c>
    </row>
    <row r="11" spans="1:4">
      <c r="A11" s="17">
        <v>200</v>
      </c>
      <c r="B11" s="21">
        <v>0.05</v>
      </c>
      <c r="C11" s="19">
        <v>3</v>
      </c>
      <c r="D11" s="11">
        <f>A11/(1+B11)^C11</f>
        <v>172.76751970629519</v>
      </c>
    </row>
    <row r="12" spans="1:4">
      <c r="A12" s="17">
        <v>200</v>
      </c>
      <c r="B12" s="21">
        <v>0.03</v>
      </c>
      <c r="C12" s="19">
        <v>4</v>
      </c>
      <c r="D12" s="11">
        <f>A12/(1+B12)^C12</f>
        <v>177.69740958313778</v>
      </c>
    </row>
    <row r="13" spans="1:4">
      <c r="A13" s="13"/>
      <c r="B13" s="14"/>
      <c r="C13" s="15"/>
      <c r="D13" s="13"/>
    </row>
    <row r="14" spans="1:4" ht="30" customHeight="1">
      <c r="A14" s="16" t="s">
        <v>31</v>
      </c>
      <c r="B14" s="10" t="s">
        <v>306</v>
      </c>
      <c r="C14" s="16" t="s">
        <v>30</v>
      </c>
      <c r="D14" s="10" t="s">
        <v>91</v>
      </c>
    </row>
    <row r="15" spans="1:4">
      <c r="A15" s="17">
        <v>2000</v>
      </c>
      <c r="B15" s="19">
        <v>25</v>
      </c>
      <c r="C15" s="17">
        <v>5400</v>
      </c>
      <c r="D15" s="12">
        <f>(C15/A15)^(1/B15)-1</f>
        <v>4.0529867012298437E-2</v>
      </c>
    </row>
    <row r="16" spans="1:4">
      <c r="A16" s="17">
        <v>1000</v>
      </c>
      <c r="B16" s="19">
        <v>3</v>
      </c>
      <c r="C16" s="17">
        <v>1250</v>
      </c>
      <c r="D16" s="12">
        <f>(C16/A16)^(1/B16)-1</f>
        <v>7.7217345015941907E-2</v>
      </c>
    </row>
    <row r="17" spans="1:4">
      <c r="A17" s="17">
        <v>1500</v>
      </c>
      <c r="B17" s="19">
        <v>3</v>
      </c>
      <c r="C17" s="17">
        <v>1800</v>
      </c>
      <c r="D17" s="12">
        <f>(C17/A17)^(1/B17)-1</f>
        <v>6.2658569182611146E-2</v>
      </c>
    </row>
    <row r="18" spans="1:4">
      <c r="A18" s="17">
        <v>200</v>
      </c>
      <c r="B18" s="19">
        <v>2</v>
      </c>
      <c r="C18" s="17">
        <v>220</v>
      </c>
      <c r="D18" s="12">
        <f>(C18/A18)^(1/B18)-1</f>
        <v>4.8808848170151631E-2</v>
      </c>
    </row>
    <row r="19" spans="1:4">
      <c r="A19" s="38"/>
      <c r="B19" s="38"/>
      <c r="C19" s="38"/>
      <c r="D19" s="38"/>
    </row>
    <row r="20" spans="1:4" ht="25.5">
      <c r="A20" s="16" t="s">
        <v>31</v>
      </c>
      <c r="B20" s="10" t="s">
        <v>33</v>
      </c>
      <c r="C20" s="16" t="s">
        <v>30</v>
      </c>
      <c r="D20" s="10" t="s">
        <v>92</v>
      </c>
    </row>
    <row r="21" spans="1:4">
      <c r="A21" s="17">
        <v>200</v>
      </c>
      <c r="B21" s="18">
        <v>0.03</v>
      </c>
      <c r="C21" s="17">
        <v>212.18</v>
      </c>
      <c r="D21" s="39">
        <f>LN(C21/A21)/LN(1+B21)</f>
        <v>1.9999999999999967</v>
      </c>
    </row>
    <row r="22" spans="1:4">
      <c r="A22" s="17">
        <v>2000</v>
      </c>
      <c r="B22" s="18">
        <v>0.1</v>
      </c>
      <c r="C22" s="17">
        <v>5400</v>
      </c>
      <c r="D22" s="39">
        <f>LN(C22/A22)/LN(1+B22)</f>
        <v>10.421255893646023</v>
      </c>
    </row>
    <row r="23" spans="1:4">
      <c r="A23" s="17">
        <v>1000</v>
      </c>
      <c r="B23" s="18">
        <v>0.03</v>
      </c>
      <c r="C23" s="17">
        <v>1250</v>
      </c>
      <c r="D23" s="39">
        <f>LN(C23/A23)/LN(1+B23)</f>
        <v>7.5491405061259567</v>
      </c>
    </row>
    <row r="24" spans="1:4">
      <c r="A24" s="38"/>
      <c r="B24" s="38"/>
      <c r="C24" s="38"/>
      <c r="D24" s="38"/>
    </row>
    <row r="27" spans="1:4">
      <c r="A27" s="9" t="s">
        <v>93</v>
      </c>
      <c r="B27" s="9"/>
      <c r="C27" s="9"/>
    </row>
    <row r="28" spans="1:4">
      <c r="A28" s="49" t="s">
        <v>31</v>
      </c>
      <c r="B28" s="49" t="s">
        <v>94</v>
      </c>
      <c r="C28" s="49" t="s">
        <v>95</v>
      </c>
    </row>
    <row r="29" spans="1:4">
      <c r="A29" s="19">
        <v>200</v>
      </c>
      <c r="B29" s="29">
        <v>0.03</v>
      </c>
      <c r="C29" s="12">
        <f>D18</f>
        <v>4.8808848170151631E-2</v>
      </c>
    </row>
    <row r="30" spans="1:4">
      <c r="A30" s="9"/>
      <c r="B30" s="9"/>
      <c r="C30" s="9"/>
    </row>
    <row r="31" spans="1:4">
      <c r="A31" s="16" t="s">
        <v>22</v>
      </c>
      <c r="B31" s="16" t="s">
        <v>96</v>
      </c>
      <c r="C31" s="16" t="s">
        <v>97</v>
      </c>
    </row>
    <row r="32" spans="1:4">
      <c r="A32" s="49">
        <v>0</v>
      </c>
      <c r="B32" s="60">
        <f>A29</f>
        <v>200</v>
      </c>
      <c r="C32" s="60">
        <f>B32</f>
        <v>200</v>
      </c>
    </row>
    <row r="33" spans="1:3">
      <c r="A33" s="49">
        <v>1</v>
      </c>
      <c r="B33" s="60">
        <f>B32*(1+$B$29)</f>
        <v>206</v>
      </c>
      <c r="C33" s="60">
        <f>C32*(1+$C$29)</f>
        <v>209.76176963403032</v>
      </c>
    </row>
    <row r="34" spans="1:3">
      <c r="A34" s="49">
        <v>2</v>
      </c>
      <c r="B34" s="60">
        <f t="shared" ref="B34:B49" si="0">B33*(1+$B$29)</f>
        <v>212.18</v>
      </c>
      <c r="C34" s="60">
        <f t="shared" ref="C34:C49" si="1">C33*(1+$C$29)</f>
        <v>220.00000000000003</v>
      </c>
    </row>
    <row r="35" spans="1:3">
      <c r="A35" s="49">
        <v>3</v>
      </c>
      <c r="B35" s="60">
        <f t="shared" si="0"/>
        <v>218.5454</v>
      </c>
      <c r="C35" s="60">
        <f t="shared" si="1"/>
        <v>230.73794659743339</v>
      </c>
    </row>
    <row r="36" spans="1:3">
      <c r="A36" s="49">
        <v>4</v>
      </c>
      <c r="B36" s="60">
        <f t="shared" si="0"/>
        <v>225.10176200000001</v>
      </c>
      <c r="C36" s="60">
        <f t="shared" si="1"/>
        <v>242.00000000000009</v>
      </c>
    </row>
    <row r="37" spans="1:3">
      <c r="A37" s="49">
        <v>5</v>
      </c>
      <c r="B37" s="60">
        <f t="shared" si="0"/>
        <v>231.85481486</v>
      </c>
      <c r="C37" s="60">
        <f t="shared" si="1"/>
        <v>253.81174125717678</v>
      </c>
    </row>
    <row r="38" spans="1:3">
      <c r="A38" s="49">
        <v>6</v>
      </c>
      <c r="B38" s="60">
        <f t="shared" si="0"/>
        <v>238.81045930580001</v>
      </c>
      <c r="C38" s="60">
        <f t="shared" si="1"/>
        <v>266.2000000000001</v>
      </c>
    </row>
    <row r="39" spans="1:3">
      <c r="A39" s="49">
        <v>7</v>
      </c>
      <c r="B39" s="60">
        <f t="shared" si="0"/>
        <v>245.974773084974</v>
      </c>
      <c r="C39" s="60">
        <f t="shared" si="1"/>
        <v>279.19291538289445</v>
      </c>
    </row>
    <row r="40" spans="1:3">
      <c r="A40" s="49">
        <v>8</v>
      </c>
      <c r="B40" s="60">
        <f t="shared" si="0"/>
        <v>253.35401627752324</v>
      </c>
      <c r="C40" s="60">
        <f t="shared" si="1"/>
        <v>292.82000000000016</v>
      </c>
    </row>
    <row r="41" spans="1:3">
      <c r="A41" s="49">
        <v>9</v>
      </c>
      <c r="B41" s="60">
        <f t="shared" si="0"/>
        <v>260.95463676584893</v>
      </c>
      <c r="C41" s="60">
        <f t="shared" si="1"/>
        <v>307.112206921184</v>
      </c>
    </row>
    <row r="42" spans="1:3">
      <c r="A42" s="49">
        <v>10</v>
      </c>
      <c r="B42" s="60">
        <f t="shared" si="0"/>
        <v>268.78327586882443</v>
      </c>
      <c r="C42" s="60">
        <f t="shared" si="1"/>
        <v>322.10200000000026</v>
      </c>
    </row>
    <row r="43" spans="1:3">
      <c r="A43" s="49">
        <v>11</v>
      </c>
      <c r="B43" s="60">
        <f t="shared" si="0"/>
        <v>276.8467741448892</v>
      </c>
      <c r="C43" s="60">
        <f t="shared" si="1"/>
        <v>337.82342761330244</v>
      </c>
    </row>
    <row r="44" spans="1:3">
      <c r="A44" s="49">
        <v>12</v>
      </c>
      <c r="B44" s="60">
        <f t="shared" si="0"/>
        <v>285.15217736923586</v>
      </c>
      <c r="C44" s="60">
        <f t="shared" si="1"/>
        <v>354.3122000000003</v>
      </c>
    </row>
    <row r="45" spans="1:3">
      <c r="A45" s="49">
        <v>13</v>
      </c>
      <c r="B45" s="60">
        <f t="shared" si="0"/>
        <v>293.70674269031292</v>
      </c>
      <c r="C45" s="60">
        <f t="shared" si="1"/>
        <v>371.6057703746327</v>
      </c>
    </row>
    <row r="46" spans="1:3">
      <c r="A46" s="49">
        <v>14</v>
      </c>
      <c r="B46" s="60">
        <f t="shared" si="0"/>
        <v>302.5179449710223</v>
      </c>
      <c r="C46" s="60">
        <f t="shared" si="1"/>
        <v>389.74342000000036</v>
      </c>
    </row>
    <row r="47" spans="1:3">
      <c r="A47" s="49">
        <v>15</v>
      </c>
      <c r="B47" s="60">
        <f t="shared" si="0"/>
        <v>311.59348332015298</v>
      </c>
      <c r="C47" s="60">
        <f t="shared" si="1"/>
        <v>408.76634741209602</v>
      </c>
    </row>
    <row r="48" spans="1:3">
      <c r="A48" s="49">
        <v>16</v>
      </c>
      <c r="B48" s="60">
        <f t="shared" si="0"/>
        <v>320.94128781975758</v>
      </c>
      <c r="C48" s="60">
        <f t="shared" si="1"/>
        <v>428.71776200000045</v>
      </c>
    </row>
    <row r="49" spans="1:3">
      <c r="A49" s="49">
        <v>17</v>
      </c>
      <c r="B49" s="60">
        <f t="shared" si="0"/>
        <v>330.5695264543503</v>
      </c>
      <c r="C49" s="60">
        <f t="shared" si="1"/>
        <v>449.6429821533057</v>
      </c>
    </row>
    <row r="50" spans="1:3">
      <c r="A50" s="49">
        <v>18</v>
      </c>
      <c r="B50" s="60">
        <f t="shared" ref="B50:B62" si="2">B49*(1+$B$29)</f>
        <v>340.48661224798082</v>
      </c>
      <c r="C50" s="60">
        <f t="shared" ref="C50:C62" si="3">C49*(1+$C$29)</f>
        <v>471.58953820000062</v>
      </c>
    </row>
    <row r="51" spans="1:3">
      <c r="A51" s="49">
        <v>19</v>
      </c>
      <c r="B51" s="60">
        <f t="shared" si="2"/>
        <v>350.70121061542022</v>
      </c>
      <c r="C51" s="60">
        <f t="shared" si="3"/>
        <v>494.6072803686364</v>
      </c>
    </row>
    <row r="52" spans="1:3">
      <c r="A52" s="49">
        <v>20</v>
      </c>
      <c r="B52" s="60">
        <f t="shared" si="2"/>
        <v>361.22224693388284</v>
      </c>
      <c r="C52" s="60">
        <f t="shared" si="3"/>
        <v>518.74849202000075</v>
      </c>
    </row>
    <row r="53" spans="1:3">
      <c r="A53" s="49">
        <v>21</v>
      </c>
      <c r="B53" s="60">
        <f t="shared" si="2"/>
        <v>372.05891434189931</v>
      </c>
      <c r="C53" s="60">
        <f t="shared" si="3"/>
        <v>544.06800840550011</v>
      </c>
    </row>
    <row r="54" spans="1:3">
      <c r="A54" s="49">
        <v>22</v>
      </c>
      <c r="B54" s="60">
        <f t="shared" si="2"/>
        <v>383.2206817721563</v>
      </c>
      <c r="C54" s="60">
        <f t="shared" si="3"/>
        <v>570.62334122200093</v>
      </c>
    </row>
    <row r="55" spans="1:3">
      <c r="A55" s="49">
        <v>23</v>
      </c>
      <c r="B55" s="60">
        <f t="shared" si="2"/>
        <v>394.71730222532102</v>
      </c>
      <c r="C55" s="60">
        <f t="shared" si="3"/>
        <v>598.4748092460502</v>
      </c>
    </row>
    <row r="56" spans="1:3">
      <c r="A56" s="49">
        <v>24</v>
      </c>
      <c r="B56" s="60">
        <f t="shared" si="2"/>
        <v>406.55882129208067</v>
      </c>
      <c r="C56" s="60">
        <f t="shared" si="3"/>
        <v>627.68567534420117</v>
      </c>
    </row>
    <row r="57" spans="1:3">
      <c r="A57" s="49">
        <v>25</v>
      </c>
      <c r="B57" s="60">
        <f t="shared" si="2"/>
        <v>418.7555859308431</v>
      </c>
      <c r="C57" s="60">
        <f t="shared" si="3"/>
        <v>658.32229017065538</v>
      </c>
    </row>
    <row r="58" spans="1:3">
      <c r="A58" s="49">
        <v>26</v>
      </c>
      <c r="B58" s="60">
        <f t="shared" si="2"/>
        <v>431.31825350876841</v>
      </c>
      <c r="C58" s="60">
        <f t="shared" si="3"/>
        <v>690.45424287862136</v>
      </c>
    </row>
    <row r="59" spans="1:3">
      <c r="A59" s="49">
        <v>27</v>
      </c>
      <c r="B59" s="60">
        <f t="shared" si="2"/>
        <v>444.25780111403145</v>
      </c>
      <c r="C59" s="60">
        <f t="shared" si="3"/>
        <v>724.15451918772101</v>
      </c>
    </row>
    <row r="60" spans="1:3">
      <c r="A60" s="49">
        <v>28</v>
      </c>
      <c r="B60" s="60">
        <f t="shared" si="2"/>
        <v>457.58553514745239</v>
      </c>
      <c r="C60" s="60">
        <f t="shared" si="3"/>
        <v>759.49966716648362</v>
      </c>
    </row>
    <row r="61" spans="1:3">
      <c r="A61" s="49">
        <v>29</v>
      </c>
      <c r="B61" s="60">
        <f t="shared" si="2"/>
        <v>471.31310120187595</v>
      </c>
      <c r="C61" s="60">
        <f t="shared" si="3"/>
        <v>796.5699711064932</v>
      </c>
    </row>
    <row r="62" spans="1:3">
      <c r="A62" s="49">
        <v>30</v>
      </c>
      <c r="B62" s="60">
        <f t="shared" si="2"/>
        <v>485.45249423793223</v>
      </c>
      <c r="C62" s="60">
        <f t="shared" si="3"/>
        <v>835.44963388313215</v>
      </c>
    </row>
    <row r="63" spans="1:3">
      <c r="A63" s="9"/>
      <c r="B63" s="9"/>
      <c r="C63" s="9"/>
    </row>
  </sheetData>
  <phoneticPr fontId="0" type="noConversion"/>
  <printOptions gridLinesSet="0"/>
  <pageMargins left="0.78740157499999996" right="0.78740157499999996" top="0.984251969" bottom="0.984251969" header="0.51181102300000003" footer="0.51181102300000003"/>
  <pageSetup paperSize="9" orientation="portrait" horizontalDpi="4294967292" verticalDpi="300" r:id="rId1"/>
  <headerFooter alignWithMargins="0">
    <oddHeader>&amp;C&amp;F      &amp;A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A4" sqref="A4"/>
    </sheetView>
  </sheetViews>
  <sheetFormatPr baseColWidth="10" defaultRowHeight="12.75"/>
  <cols>
    <col min="1" max="1" width="12.5703125" customWidth="1"/>
    <col min="2" max="2" width="6.42578125" customWidth="1"/>
    <col min="3" max="4" width="7.42578125" customWidth="1"/>
    <col min="5" max="7" width="8.85546875" customWidth="1"/>
    <col min="8" max="9" width="9.85546875" customWidth="1"/>
    <col min="10" max="10" width="10.85546875" customWidth="1"/>
  </cols>
  <sheetData>
    <row r="1" spans="1:11">
      <c r="A1" s="8" t="s">
        <v>98</v>
      </c>
      <c r="B1" s="9"/>
      <c r="C1" s="9"/>
      <c r="D1" s="9"/>
      <c r="E1" s="9"/>
      <c r="F1" s="9"/>
      <c r="G1" s="9"/>
      <c r="H1" s="9"/>
      <c r="I1" s="9"/>
      <c r="J1" s="9"/>
      <c r="K1" s="9"/>
    </row>
    <row r="2" spans="1:11">
      <c r="A2" s="42">
        <v>10000</v>
      </c>
      <c r="B2" s="9" t="s">
        <v>99</v>
      </c>
      <c r="C2" s="9"/>
      <c r="D2" s="9"/>
      <c r="E2" s="9"/>
      <c r="F2" s="9"/>
      <c r="G2" s="9"/>
      <c r="H2" s="9"/>
      <c r="I2" s="9"/>
      <c r="J2" s="9"/>
      <c r="K2" s="9"/>
    </row>
    <row r="3" spans="1:11">
      <c r="A3" s="9"/>
      <c r="B3" s="9"/>
      <c r="C3" s="9"/>
      <c r="D3" s="9"/>
      <c r="E3" s="9"/>
      <c r="F3" s="9"/>
      <c r="G3" s="9"/>
      <c r="H3" s="9"/>
      <c r="I3" s="9"/>
      <c r="J3" s="9"/>
      <c r="K3" s="9"/>
    </row>
    <row r="4" spans="1:11" ht="25.5" customHeight="1">
      <c r="A4" s="40" t="s">
        <v>100</v>
      </c>
      <c r="B4" s="292">
        <v>5.0000000000000001E-3</v>
      </c>
      <c r="C4" s="29">
        <v>0.01</v>
      </c>
      <c r="D4" s="29">
        <v>0.02</v>
      </c>
      <c r="E4" s="29">
        <v>0.03</v>
      </c>
      <c r="F4" s="29">
        <v>0.04</v>
      </c>
      <c r="G4" s="29">
        <v>0.05</v>
      </c>
      <c r="H4" s="29">
        <v>0.06</v>
      </c>
      <c r="I4" s="29">
        <v>0.08</v>
      </c>
      <c r="J4" s="29">
        <v>0.1</v>
      </c>
      <c r="K4" s="9"/>
    </row>
    <row r="5" spans="1:11">
      <c r="A5" s="43">
        <v>1</v>
      </c>
      <c r="B5" s="41">
        <f t="shared" ref="B5:J19" si="0">$A$2*(1+B$4)^$A5</f>
        <v>10049.999999999998</v>
      </c>
      <c r="C5" s="41">
        <f t="shared" si="0"/>
        <v>10100</v>
      </c>
      <c r="D5" s="41">
        <f t="shared" si="0"/>
        <v>10200</v>
      </c>
      <c r="E5" s="41">
        <f t="shared" si="0"/>
        <v>10300</v>
      </c>
      <c r="F5" s="41">
        <f t="shared" si="0"/>
        <v>10400</v>
      </c>
      <c r="G5" s="41">
        <f t="shared" si="0"/>
        <v>10500</v>
      </c>
      <c r="H5" s="41">
        <f t="shared" si="0"/>
        <v>10600</v>
      </c>
      <c r="I5" s="41">
        <f t="shared" si="0"/>
        <v>10800</v>
      </c>
      <c r="J5" s="41">
        <f t="shared" si="0"/>
        <v>11000</v>
      </c>
      <c r="K5" s="9"/>
    </row>
    <row r="6" spans="1:11">
      <c r="A6" s="43">
        <v>2</v>
      </c>
      <c r="B6" s="41">
        <f t="shared" si="0"/>
        <v>10100.249999999998</v>
      </c>
      <c r="C6" s="41">
        <f t="shared" si="0"/>
        <v>10201</v>
      </c>
      <c r="D6" s="41">
        <f t="shared" si="0"/>
        <v>10404</v>
      </c>
      <c r="E6" s="41">
        <f t="shared" si="0"/>
        <v>10609</v>
      </c>
      <c r="F6" s="41">
        <f t="shared" si="0"/>
        <v>10816.000000000002</v>
      </c>
      <c r="G6" s="41">
        <f t="shared" si="0"/>
        <v>11025</v>
      </c>
      <c r="H6" s="41">
        <f t="shared" si="0"/>
        <v>11236.000000000002</v>
      </c>
      <c r="I6" s="41">
        <f t="shared" si="0"/>
        <v>11664.000000000002</v>
      </c>
      <c r="J6" s="41">
        <f t="shared" si="0"/>
        <v>12100.000000000002</v>
      </c>
      <c r="K6" s="9"/>
    </row>
    <row r="7" spans="1:11">
      <c r="A7" s="43">
        <v>3</v>
      </c>
      <c r="B7" s="41">
        <f t="shared" si="0"/>
        <v>10150.751249999996</v>
      </c>
      <c r="C7" s="41">
        <f t="shared" si="0"/>
        <v>10303.009999999998</v>
      </c>
      <c r="D7" s="41">
        <f t="shared" si="0"/>
        <v>10612.08</v>
      </c>
      <c r="E7" s="41">
        <f t="shared" si="0"/>
        <v>10927.27</v>
      </c>
      <c r="F7" s="41">
        <f t="shared" si="0"/>
        <v>11248.640000000001</v>
      </c>
      <c r="G7" s="41">
        <f t="shared" si="0"/>
        <v>11576.250000000002</v>
      </c>
      <c r="H7" s="41">
        <f t="shared" si="0"/>
        <v>11910.160000000003</v>
      </c>
      <c r="I7" s="41">
        <f t="shared" si="0"/>
        <v>12597.12</v>
      </c>
      <c r="J7" s="41">
        <f t="shared" si="0"/>
        <v>13310.000000000004</v>
      </c>
      <c r="K7" s="9"/>
    </row>
    <row r="8" spans="1:11">
      <c r="A8" s="43">
        <v>4</v>
      </c>
      <c r="B8" s="41">
        <f t="shared" si="0"/>
        <v>10201.505006249994</v>
      </c>
      <c r="C8" s="41">
        <f t="shared" si="0"/>
        <v>10406.0401</v>
      </c>
      <c r="D8" s="41">
        <f t="shared" si="0"/>
        <v>10824.321599999999</v>
      </c>
      <c r="E8" s="41">
        <f t="shared" si="0"/>
        <v>11255.088099999999</v>
      </c>
      <c r="F8" s="41">
        <f t="shared" si="0"/>
        <v>11698.585600000002</v>
      </c>
      <c r="G8" s="41">
        <f t="shared" si="0"/>
        <v>12155.0625</v>
      </c>
      <c r="H8" s="41">
        <f t="shared" si="0"/>
        <v>12624.769600000003</v>
      </c>
      <c r="I8" s="41">
        <f t="shared" si="0"/>
        <v>13604.889600000002</v>
      </c>
      <c r="J8" s="41">
        <f t="shared" si="0"/>
        <v>14641.000000000004</v>
      </c>
      <c r="K8" s="9"/>
    </row>
    <row r="9" spans="1:11">
      <c r="A9" s="43">
        <v>5</v>
      </c>
      <c r="B9" s="41">
        <f t="shared" si="0"/>
        <v>10252.512531281242</v>
      </c>
      <c r="C9" s="41">
        <f t="shared" si="0"/>
        <v>10510.100500999999</v>
      </c>
      <c r="D9" s="41">
        <f t="shared" si="0"/>
        <v>11040.808032000001</v>
      </c>
      <c r="E9" s="41">
        <f t="shared" si="0"/>
        <v>11592.740742999998</v>
      </c>
      <c r="F9" s="41">
        <f t="shared" si="0"/>
        <v>12166.529024000003</v>
      </c>
      <c r="G9" s="41">
        <f t="shared" si="0"/>
        <v>12762.815625000001</v>
      </c>
      <c r="H9" s="41">
        <f t="shared" si="0"/>
        <v>13382.255776000005</v>
      </c>
      <c r="I9" s="41">
        <f t="shared" si="0"/>
        <v>14693.280768000004</v>
      </c>
      <c r="J9" s="41">
        <f t="shared" si="0"/>
        <v>16105.100000000006</v>
      </c>
      <c r="K9" s="9"/>
    </row>
    <row r="10" spans="1:11">
      <c r="A10" s="43">
        <v>10</v>
      </c>
      <c r="B10" s="41">
        <f t="shared" si="0"/>
        <v>10511.401320407891</v>
      </c>
      <c r="C10" s="41">
        <f t="shared" si="0"/>
        <v>11046.221254112048</v>
      </c>
      <c r="D10" s="41">
        <f t="shared" si="0"/>
        <v>12189.944199947571</v>
      </c>
      <c r="E10" s="41">
        <f t="shared" si="0"/>
        <v>13439.163793441217</v>
      </c>
      <c r="F10" s="41">
        <f t="shared" si="0"/>
        <v>14802.442849183446</v>
      </c>
      <c r="G10" s="41">
        <f t="shared" si="0"/>
        <v>16288.946267774416</v>
      </c>
      <c r="H10" s="41">
        <f t="shared" si="0"/>
        <v>17908.476965428545</v>
      </c>
      <c r="I10" s="41">
        <f t="shared" si="0"/>
        <v>21589.249972727877</v>
      </c>
      <c r="J10" s="41">
        <f t="shared" si="0"/>
        <v>25937.424601000017</v>
      </c>
      <c r="K10" s="9"/>
    </row>
    <row r="11" spans="1:11">
      <c r="A11" s="43">
        <v>15</v>
      </c>
      <c r="B11" s="41">
        <f t="shared" si="0"/>
        <v>10776.827375880808</v>
      </c>
      <c r="C11" s="41">
        <f t="shared" si="0"/>
        <v>11609.689553699984</v>
      </c>
      <c r="D11" s="41">
        <f t="shared" si="0"/>
        <v>13458.683383241292</v>
      </c>
      <c r="E11" s="41">
        <f t="shared" si="0"/>
        <v>15579.674166007644</v>
      </c>
      <c r="F11" s="41">
        <f t="shared" si="0"/>
        <v>18009.435055069167</v>
      </c>
      <c r="G11" s="41">
        <f t="shared" si="0"/>
        <v>20789.281794113678</v>
      </c>
      <c r="H11" s="41">
        <f t="shared" si="0"/>
        <v>23965.581930996923</v>
      </c>
      <c r="I11" s="41">
        <f t="shared" si="0"/>
        <v>31721.691141982716</v>
      </c>
      <c r="J11" s="41">
        <f t="shared" si="0"/>
        <v>41772.481694156551</v>
      </c>
      <c r="K11" s="9"/>
    </row>
    <row r="12" spans="1:11">
      <c r="A12" s="43">
        <v>20</v>
      </c>
      <c r="B12" s="41">
        <f t="shared" si="0"/>
        <v>11048.955771867275</v>
      </c>
      <c r="C12" s="41">
        <f t="shared" si="0"/>
        <v>12201.900399479671</v>
      </c>
      <c r="D12" s="41">
        <f t="shared" si="0"/>
        <v>14859.473959783543</v>
      </c>
      <c r="E12" s="41">
        <f t="shared" si="0"/>
        <v>18061.112346694132</v>
      </c>
      <c r="F12" s="41">
        <f t="shared" si="0"/>
        <v>21911.231430334214</v>
      </c>
      <c r="G12" s="41">
        <f t="shared" si="0"/>
        <v>26532.97705144421</v>
      </c>
      <c r="H12" s="41">
        <f t="shared" si="0"/>
        <v>32071.354722128479</v>
      </c>
      <c r="I12" s="41">
        <f t="shared" si="0"/>
        <v>46609.571438493062</v>
      </c>
      <c r="J12" s="41">
        <f t="shared" si="0"/>
        <v>67274.999493256095</v>
      </c>
      <c r="K12" s="9"/>
    </row>
    <row r="13" spans="1:11">
      <c r="A13" s="43">
        <v>25</v>
      </c>
      <c r="B13" s="41">
        <f t="shared" si="0"/>
        <v>11327.955750864145</v>
      </c>
      <c r="C13" s="41">
        <f t="shared" si="0"/>
        <v>12824.319950172343</v>
      </c>
      <c r="D13" s="41">
        <f t="shared" si="0"/>
        <v>16406.059944647295</v>
      </c>
      <c r="E13" s="41">
        <f t="shared" si="0"/>
        <v>20937.779296542139</v>
      </c>
      <c r="F13" s="41">
        <f t="shared" si="0"/>
        <v>26658.363314874234</v>
      </c>
      <c r="G13" s="41">
        <f t="shared" si="0"/>
        <v>33863.549408993858</v>
      </c>
      <c r="H13" s="41">
        <f t="shared" si="0"/>
        <v>42918.70719743488</v>
      </c>
      <c r="I13" s="41">
        <f t="shared" si="0"/>
        <v>68484.751962193244</v>
      </c>
      <c r="J13" s="41">
        <f t="shared" si="0"/>
        <v>108347.05943388391</v>
      </c>
      <c r="K13" s="9"/>
    </row>
    <row r="14" spans="1:11">
      <c r="A14" s="43">
        <v>30</v>
      </c>
      <c r="B14" s="41">
        <f t="shared" si="0"/>
        <v>11614.000828953405</v>
      </c>
      <c r="C14" s="41">
        <f t="shared" si="0"/>
        <v>13478.489153329063</v>
      </c>
      <c r="D14" s="41">
        <f t="shared" si="0"/>
        <v>18113.615841033534</v>
      </c>
      <c r="E14" s="41">
        <f t="shared" si="0"/>
        <v>24272.624711896591</v>
      </c>
      <c r="F14" s="41">
        <f t="shared" si="0"/>
        <v>32433.975100275424</v>
      </c>
      <c r="G14" s="41">
        <f t="shared" si="0"/>
        <v>43219.423751506627</v>
      </c>
      <c r="H14" s="41">
        <f t="shared" si="0"/>
        <v>57434.911729132597</v>
      </c>
      <c r="I14" s="41">
        <f t="shared" si="0"/>
        <v>100626.56889073444</v>
      </c>
      <c r="J14" s="41">
        <f t="shared" si="0"/>
        <v>174494.02268886444</v>
      </c>
      <c r="K14" s="9"/>
    </row>
    <row r="15" spans="1:11">
      <c r="A15" s="43">
        <v>35</v>
      </c>
      <c r="B15" s="41">
        <f t="shared" si="0"/>
        <v>11907.268903715552</v>
      </c>
      <c r="C15" s="41">
        <f t="shared" si="0"/>
        <v>14166.027560312681</v>
      </c>
      <c r="D15" s="41">
        <f t="shared" si="0"/>
        <v>19998.895526624547</v>
      </c>
      <c r="E15" s="41">
        <f t="shared" si="0"/>
        <v>28138.624543715225</v>
      </c>
      <c r="F15" s="41">
        <f t="shared" si="0"/>
        <v>39460.889942119436</v>
      </c>
      <c r="G15" s="41">
        <f t="shared" si="0"/>
        <v>55160.153675922513</v>
      </c>
      <c r="H15" s="41">
        <f t="shared" si="0"/>
        <v>76860.8679231235</v>
      </c>
      <c r="I15" s="41">
        <f t="shared" si="0"/>
        <v>147853.44294320559</v>
      </c>
      <c r="J15" s="41">
        <f t="shared" si="0"/>
        <v>281024.3684806432</v>
      </c>
      <c r="K15" s="9"/>
    </row>
    <row r="16" spans="1:11">
      <c r="A16" s="43">
        <v>40</v>
      </c>
      <c r="B16" s="41">
        <f t="shared" si="0"/>
        <v>12207.942364867917</v>
      </c>
      <c r="C16" s="41">
        <f t="shared" si="0"/>
        <v>14888.637335882215</v>
      </c>
      <c r="D16" s="41">
        <f t="shared" si="0"/>
        <v>22080.396636148518</v>
      </c>
      <c r="E16" s="41">
        <f t="shared" si="0"/>
        <v>32620.377919990719</v>
      </c>
      <c r="F16" s="41">
        <f t="shared" si="0"/>
        <v>48010.206279366597</v>
      </c>
      <c r="G16" s="41">
        <f t="shared" si="0"/>
        <v>70399.887121246487</v>
      </c>
      <c r="H16" s="41">
        <f t="shared" si="0"/>
        <v>102857.17937125929</v>
      </c>
      <c r="I16" s="41">
        <f t="shared" si="0"/>
        <v>217245.21496799888</v>
      </c>
      <c r="J16" s="41">
        <f t="shared" si="0"/>
        <v>452592.55568176071</v>
      </c>
      <c r="K16" s="9"/>
    </row>
    <row r="17" spans="1:11">
      <c r="A17" s="43">
        <v>45</v>
      </c>
      <c r="B17" s="41">
        <f t="shared" si="0"/>
        <v>12516.208207696745</v>
      </c>
      <c r="C17" s="41">
        <f t="shared" si="0"/>
        <v>15648.107472306299</v>
      </c>
      <c r="D17" s="41">
        <f t="shared" si="0"/>
        <v>24378.542053013432</v>
      </c>
      <c r="E17" s="41">
        <f t="shared" si="0"/>
        <v>37815.9584165134</v>
      </c>
      <c r="F17" s="41">
        <f t="shared" si="0"/>
        <v>58411.756814614077</v>
      </c>
      <c r="G17" s="41">
        <f t="shared" si="0"/>
        <v>89850.077934928122</v>
      </c>
      <c r="H17" s="41">
        <f t="shared" si="0"/>
        <v>137646.1082744103</v>
      </c>
      <c r="I17" s="41">
        <f t="shared" si="0"/>
        <v>319204.49390293239</v>
      </c>
      <c r="J17" s="41">
        <f t="shared" si="0"/>
        <v>728904.8368510328</v>
      </c>
      <c r="K17" s="9"/>
    </row>
    <row r="18" spans="1:11">
      <c r="A18" s="43">
        <v>50</v>
      </c>
      <c r="B18" s="41">
        <f t="shared" si="0"/>
        <v>12832.258149353602</v>
      </c>
      <c r="C18" s="41">
        <f t="shared" si="0"/>
        <v>16446.318218438832</v>
      </c>
      <c r="D18" s="41">
        <f t="shared" si="0"/>
        <v>26915.880290736048</v>
      </c>
      <c r="E18" s="41">
        <f t="shared" si="0"/>
        <v>43839.060187070863</v>
      </c>
      <c r="F18" s="41">
        <f t="shared" si="0"/>
        <v>71066.833462783223</v>
      </c>
      <c r="G18" s="41">
        <f t="shared" si="0"/>
        <v>114673.99785753684</v>
      </c>
      <c r="H18" s="41">
        <f t="shared" si="0"/>
        <v>184201.54274991489</v>
      </c>
      <c r="I18" s="41">
        <f t="shared" si="0"/>
        <v>469016.12513231311</v>
      </c>
      <c r="J18" s="41">
        <f t="shared" si="0"/>
        <v>1173908.5287969571</v>
      </c>
      <c r="K18" s="9"/>
    </row>
    <row r="19" spans="1:11">
      <c r="A19" s="43">
        <v>100</v>
      </c>
      <c r="B19" s="41">
        <f t="shared" si="0"/>
        <v>16466.684921165197</v>
      </c>
      <c r="C19" s="41">
        <f t="shared" si="0"/>
        <v>27048.138294215289</v>
      </c>
      <c r="D19" s="41">
        <f t="shared" si="0"/>
        <v>72446.461182523315</v>
      </c>
      <c r="E19" s="41">
        <f t="shared" si="0"/>
        <v>192186.31980856217</v>
      </c>
      <c r="F19" s="41">
        <f t="shared" si="0"/>
        <v>505049.48184269638</v>
      </c>
      <c r="G19" s="41">
        <f t="shared" si="0"/>
        <v>1315012.5784630361</v>
      </c>
      <c r="H19" s="41">
        <f t="shared" si="0"/>
        <v>3393020.8351448728</v>
      </c>
      <c r="I19" s="41">
        <f>$A$2*(1+I$4)^$A19</f>
        <v>21997612.563412968</v>
      </c>
      <c r="J19" s="41">
        <f t="shared" si="0"/>
        <v>137806123.39822364</v>
      </c>
      <c r="K19" s="9"/>
    </row>
    <row r="20" spans="1:11">
      <c r="A20" s="9"/>
      <c r="B20" s="9"/>
      <c r="C20" s="9"/>
      <c r="D20" s="9"/>
      <c r="E20" s="9"/>
      <c r="F20" s="9"/>
      <c r="G20" s="9"/>
      <c r="H20" s="9"/>
      <c r="I20" s="9"/>
      <c r="J20" s="9"/>
      <c r="K20" s="9"/>
    </row>
    <row r="21" spans="1:11">
      <c r="A21" s="9"/>
      <c r="B21" s="131"/>
      <c r="C21" s="9"/>
      <c r="D21" s="9"/>
      <c r="E21" s="9"/>
      <c r="F21" s="9"/>
      <c r="G21" s="9"/>
      <c r="H21" s="9"/>
      <c r="I21" s="9"/>
      <c r="J21" s="9"/>
      <c r="K21" s="9"/>
    </row>
    <row r="22" spans="1:11">
      <c r="A22" s="45" t="s">
        <v>101</v>
      </c>
      <c r="B22" s="134">
        <v>40</v>
      </c>
      <c r="C22" s="80" t="s">
        <v>102</v>
      </c>
      <c r="D22" s="80"/>
      <c r="E22" s="135">
        <v>50</v>
      </c>
      <c r="F22" s="80" t="s">
        <v>103</v>
      </c>
      <c r="G22" s="80"/>
      <c r="H22" s="136">
        <v>0.04</v>
      </c>
      <c r="I22" s="80" t="s">
        <v>104</v>
      </c>
      <c r="J22" s="137">
        <f>B22*(1+H22)^E22</f>
        <v>284.26733385113289</v>
      </c>
      <c r="K22" s="9"/>
    </row>
    <row r="23" spans="1:11">
      <c r="A23" s="9"/>
      <c r="B23" s="9"/>
      <c r="C23" s="9"/>
      <c r="D23" s="9"/>
      <c r="E23" s="9"/>
      <c r="F23" s="9"/>
      <c r="G23" s="9"/>
      <c r="H23" s="9"/>
      <c r="I23" s="9"/>
      <c r="J23" s="9"/>
      <c r="K23" s="9"/>
    </row>
  </sheetData>
  <phoneticPr fontId="0" type="noConversion"/>
  <pageMargins left="0.78740157499999996" right="0.78740157499999996" top="0.984251969" bottom="0.984251969" header="0.51181102300000003" footer="0.51181102300000003"/>
  <pageSetup paperSize="9" orientation="portrait" horizontalDpi="4294967292" verticalDpi="300" r:id="rId1"/>
  <headerFooter alignWithMargins="0">
    <oddHeader>&amp;C&amp;F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H1" sqref="H1"/>
    </sheetView>
  </sheetViews>
  <sheetFormatPr baseColWidth="10" defaultRowHeight="12.75"/>
  <cols>
    <col min="1" max="1" width="8.42578125" customWidth="1"/>
    <col min="2" max="2" width="13.140625" customWidth="1"/>
    <col min="3" max="3" width="13.28515625" customWidth="1"/>
    <col min="4" max="4" width="4.28515625" customWidth="1"/>
    <col min="5" max="5" width="9.28515625" customWidth="1"/>
  </cols>
  <sheetData>
    <row r="1" spans="1:7">
      <c r="A1" s="46"/>
      <c r="B1" s="52" t="s">
        <v>113</v>
      </c>
      <c r="C1" s="53"/>
      <c r="D1" s="9"/>
      <c r="E1" s="9"/>
      <c r="F1" s="9"/>
      <c r="G1" s="9"/>
    </row>
    <row r="2" spans="1:7" ht="23.25" customHeight="1">
      <c r="A2" s="10" t="s">
        <v>114</v>
      </c>
      <c r="B2" s="16" t="s">
        <v>115</v>
      </c>
      <c r="C2" s="16" t="s">
        <v>116</v>
      </c>
      <c r="D2" s="9"/>
      <c r="E2" s="16" t="s">
        <v>108</v>
      </c>
      <c r="F2" s="10" t="s">
        <v>117</v>
      </c>
      <c r="G2" s="9"/>
    </row>
    <row r="3" spans="1:7">
      <c r="A3" s="49">
        <v>0.1</v>
      </c>
      <c r="B3" s="50">
        <f>70/A3</f>
        <v>700</v>
      </c>
      <c r="C3" s="50">
        <f>LN(2)/LN(A3/100+1)</f>
        <v>693.49369641689941</v>
      </c>
      <c r="D3" s="9"/>
      <c r="E3" s="145">
        <f>B3-C3</f>
        <v>6.5063035831005891</v>
      </c>
      <c r="F3" s="146">
        <f>E3/C3</f>
        <v>9.381921734425213E-3</v>
      </c>
      <c r="G3" s="9"/>
    </row>
    <row r="4" spans="1:7">
      <c r="A4" s="49">
        <v>0.5</v>
      </c>
      <c r="B4" s="50">
        <f>70/A4</f>
        <v>140</v>
      </c>
      <c r="C4" s="50">
        <f>LN(2)/LN(A4/100+1)</f>
        <v>138.97572161069672</v>
      </c>
      <c r="D4" s="9"/>
      <c r="E4" s="145">
        <f>B4-C4</f>
        <v>1.0242783893032765</v>
      </c>
      <c r="F4" s="146">
        <f>E4/C4</f>
        <v>7.3701965885272979E-3</v>
      </c>
      <c r="G4" s="9"/>
    </row>
    <row r="5" spans="1:7">
      <c r="A5" s="49">
        <v>1</v>
      </c>
      <c r="B5" s="50">
        <f>70/A5</f>
        <v>70</v>
      </c>
      <c r="C5" s="50">
        <f>LN(2)/LN(A5/100+1)</f>
        <v>69.660716893574829</v>
      </c>
      <c r="D5" s="9"/>
      <c r="E5" s="145">
        <f>B5-C5</f>
        <v>0.3392831064251709</v>
      </c>
      <c r="F5" s="146">
        <f>E5/C5</f>
        <v>4.8705083949037676E-3</v>
      </c>
      <c r="G5" s="9"/>
    </row>
    <row r="6" spans="1:7">
      <c r="A6" s="49">
        <v>2</v>
      </c>
      <c r="B6" s="50">
        <f t="shared" ref="B6:B19" si="0">70/A6</f>
        <v>35</v>
      </c>
      <c r="C6" s="50">
        <f t="shared" ref="C6:C19" si="1">LN(2)/LN(A6/100+1)</f>
        <v>35.002788781146499</v>
      </c>
      <c r="D6" s="9"/>
      <c r="E6" s="145">
        <f t="shared" ref="E6:E19" si="2">B6-C6</f>
        <v>-2.7887811464992751E-3</v>
      </c>
      <c r="F6" s="146">
        <f t="shared" ref="F6:F19" si="3">E6/C6</f>
        <v>-7.9673113017823095E-5</v>
      </c>
      <c r="G6" s="9"/>
    </row>
    <row r="7" spans="1:7">
      <c r="A7" s="49">
        <v>3</v>
      </c>
      <c r="B7" s="50">
        <f t="shared" si="0"/>
        <v>23.333333333333332</v>
      </c>
      <c r="C7" s="50">
        <f t="shared" si="1"/>
        <v>23.449772250437736</v>
      </c>
      <c r="D7" s="9"/>
      <c r="E7" s="145">
        <f t="shared" si="2"/>
        <v>-0.11643891710440357</v>
      </c>
      <c r="F7" s="146">
        <f t="shared" si="3"/>
        <v>-4.9654604684798171E-3</v>
      </c>
      <c r="G7" s="9"/>
    </row>
    <row r="8" spans="1:7">
      <c r="A8" s="49">
        <v>4</v>
      </c>
      <c r="B8" s="50">
        <f t="shared" si="0"/>
        <v>17.5</v>
      </c>
      <c r="C8" s="50">
        <f t="shared" si="1"/>
        <v>17.672987685129698</v>
      </c>
      <c r="D8" s="9"/>
      <c r="E8" s="145">
        <f t="shared" si="2"/>
        <v>-0.17298768512969787</v>
      </c>
      <c r="F8" s="146">
        <f t="shared" si="3"/>
        <v>-9.7882535885685101E-3</v>
      </c>
      <c r="G8" s="9"/>
    </row>
    <row r="9" spans="1:7">
      <c r="A9" s="49">
        <v>5</v>
      </c>
      <c r="B9" s="50">
        <f t="shared" si="0"/>
        <v>14</v>
      </c>
      <c r="C9" s="50">
        <f t="shared" si="1"/>
        <v>14.206699082890461</v>
      </c>
      <c r="D9" s="9"/>
      <c r="E9" s="145">
        <f t="shared" si="2"/>
        <v>-0.20669908289046113</v>
      </c>
      <c r="F9" s="146">
        <f t="shared" si="3"/>
        <v>-1.4549409520427924E-2</v>
      </c>
      <c r="G9" s="9"/>
    </row>
    <row r="10" spans="1:7">
      <c r="A10" s="49">
        <v>6</v>
      </c>
      <c r="B10" s="50">
        <f t="shared" si="0"/>
        <v>11.666666666666666</v>
      </c>
      <c r="C10" s="50">
        <f t="shared" si="1"/>
        <v>11.895661045941875</v>
      </c>
      <c r="D10" s="9"/>
      <c r="E10" s="145">
        <f t="shared" si="2"/>
        <v>-0.22899437927520871</v>
      </c>
      <c r="F10" s="146">
        <f t="shared" si="3"/>
        <v>-1.9250244134463516E-2</v>
      </c>
      <c r="G10" s="9"/>
    </row>
    <row r="11" spans="1:7">
      <c r="A11" s="49">
        <v>8</v>
      </c>
      <c r="B11" s="50">
        <f t="shared" si="0"/>
        <v>8.75</v>
      </c>
      <c r="C11" s="50">
        <f t="shared" si="1"/>
        <v>9.0064683420005878</v>
      </c>
      <c r="D11" s="9"/>
      <c r="E11" s="145">
        <f t="shared" si="2"/>
        <v>-0.25646834200058777</v>
      </c>
      <c r="F11" s="146">
        <f t="shared" si="3"/>
        <v>-2.8476016598490479E-2</v>
      </c>
      <c r="G11" s="9"/>
    </row>
    <row r="12" spans="1:7">
      <c r="A12" s="49">
        <v>10</v>
      </c>
      <c r="B12" s="50">
        <f t="shared" si="0"/>
        <v>7</v>
      </c>
      <c r="C12" s="50">
        <f t="shared" si="1"/>
        <v>7.2725408973417132</v>
      </c>
      <c r="D12" s="9"/>
      <c r="E12" s="145">
        <f t="shared" si="2"/>
        <v>-0.27254089734171316</v>
      </c>
      <c r="F12" s="146">
        <f t="shared" si="3"/>
        <v>-3.7475333750454858E-2</v>
      </c>
      <c r="G12" s="9"/>
    </row>
    <row r="13" spans="1:7">
      <c r="A13" s="49">
        <v>20</v>
      </c>
      <c r="B13" s="50">
        <f t="shared" si="0"/>
        <v>3.5</v>
      </c>
      <c r="C13" s="50">
        <f t="shared" si="1"/>
        <v>3.8017840169239308</v>
      </c>
      <c r="D13" s="9"/>
      <c r="E13" s="145">
        <f t="shared" si="2"/>
        <v>-0.30178401692393075</v>
      </c>
      <c r="F13" s="146">
        <f t="shared" si="3"/>
        <v>-7.9379579581721704E-2</v>
      </c>
      <c r="G13" s="9"/>
    </row>
    <row r="14" spans="1:7">
      <c r="A14" s="49">
        <v>25</v>
      </c>
      <c r="B14" s="50">
        <f t="shared" si="0"/>
        <v>2.8</v>
      </c>
      <c r="C14" s="50">
        <f t="shared" si="1"/>
        <v>3.1062837195053898</v>
      </c>
      <c r="D14" s="9"/>
      <c r="E14" s="145">
        <f t="shared" si="2"/>
        <v>-0.30628371950539002</v>
      </c>
      <c r="F14" s="146">
        <f t="shared" si="3"/>
        <v>-9.8601334315385467E-2</v>
      </c>
      <c r="G14" s="9"/>
    </row>
    <row r="15" spans="1:7">
      <c r="A15" s="49">
        <v>30</v>
      </c>
      <c r="B15" s="50">
        <f t="shared" si="0"/>
        <v>2.3333333333333335</v>
      </c>
      <c r="C15" s="50">
        <f t="shared" si="1"/>
        <v>2.6419267958111403</v>
      </c>
      <c r="D15" s="9"/>
      <c r="E15" s="145">
        <f t="shared" si="2"/>
        <v>-0.30859346247780683</v>
      </c>
      <c r="F15" s="146">
        <f t="shared" si="3"/>
        <v>-0.11680621240796364</v>
      </c>
      <c r="G15" s="9"/>
    </row>
    <row r="16" spans="1:7">
      <c r="A16" s="49">
        <v>35</v>
      </c>
      <c r="B16" s="50">
        <f t="shared" si="0"/>
        <v>2</v>
      </c>
      <c r="C16" s="50">
        <f t="shared" si="1"/>
        <v>2.3096853496990337</v>
      </c>
      <c r="D16" s="9"/>
      <c r="E16" s="145">
        <f t="shared" si="2"/>
        <v>-0.30968534969903372</v>
      </c>
      <c r="F16" s="146">
        <f t="shared" si="3"/>
        <v>-0.13408118544778735</v>
      </c>
      <c r="G16" s="9"/>
    </row>
    <row r="17" spans="1:7">
      <c r="A17" s="49">
        <v>40</v>
      </c>
      <c r="B17" s="50">
        <f t="shared" si="0"/>
        <v>1.75</v>
      </c>
      <c r="C17" s="50">
        <f t="shared" si="1"/>
        <v>2.0600427171061453</v>
      </c>
      <c r="D17" s="9"/>
      <c r="E17" s="145">
        <f t="shared" si="2"/>
        <v>-0.31004271710614528</v>
      </c>
      <c r="F17" s="146">
        <f t="shared" si="3"/>
        <v>-0.15050305245207693</v>
      </c>
      <c r="G17" s="9"/>
    </row>
    <row r="18" spans="1:7">
      <c r="A18" s="49">
        <v>45</v>
      </c>
      <c r="B18" s="50">
        <f t="shared" si="0"/>
        <v>1.5555555555555556</v>
      </c>
      <c r="C18" s="50">
        <f t="shared" si="1"/>
        <v>1.8654875284732004</v>
      </c>
      <c r="D18" s="9"/>
      <c r="E18" s="145">
        <f t="shared" si="2"/>
        <v>-0.30993197291764485</v>
      </c>
      <c r="F18" s="146">
        <f t="shared" si="3"/>
        <v>-0.16613993295967366</v>
      </c>
      <c r="G18" s="9"/>
    </row>
    <row r="19" spans="1:7">
      <c r="A19" s="49">
        <v>50</v>
      </c>
      <c r="B19" s="50">
        <f t="shared" si="0"/>
        <v>1.4</v>
      </c>
      <c r="C19" s="50">
        <f t="shared" si="1"/>
        <v>1.7095112913514547</v>
      </c>
      <c r="D19" s="9"/>
      <c r="E19" s="145">
        <f t="shared" si="2"/>
        <v>-0.30951129135145483</v>
      </c>
      <c r="F19" s="146">
        <f t="shared" si="3"/>
        <v>-0.18105249899038139</v>
      </c>
      <c r="G19" s="9"/>
    </row>
    <row r="20" spans="1:7">
      <c r="A20" s="9"/>
      <c r="B20" s="9"/>
      <c r="C20" s="9"/>
      <c r="D20" s="9"/>
      <c r="E20" s="9"/>
      <c r="F20" s="9"/>
      <c r="G20" s="9"/>
    </row>
  </sheetData>
  <phoneticPr fontId="0" type="noConversion"/>
  <pageMargins left="0.78740157499999996" right="0.78740157499999996" top="0.984251969" bottom="0.984251969" header="0.51181102300000003" footer="0.51181102300000003"/>
  <pageSetup paperSize="9" orientation="portrait" horizontalDpi="4294967292" verticalDpi="300" r:id="rId1"/>
  <headerFooter alignWithMargins="0">
    <oddHeader>&amp;C&amp;F      &amp;A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heetViews>
  <sheetFormatPr baseColWidth="10" defaultRowHeight="12.75"/>
  <sheetData>
    <row r="1" spans="1:6">
      <c r="A1" s="9"/>
      <c r="B1" s="9"/>
      <c r="C1" s="9"/>
      <c r="D1" s="9"/>
      <c r="E1" s="9"/>
      <c r="F1" s="9"/>
    </row>
    <row r="2" spans="1:6">
      <c r="A2" s="243" t="s">
        <v>239</v>
      </c>
      <c r="B2" s="9"/>
      <c r="C2" s="9"/>
      <c r="D2" s="9"/>
      <c r="E2" s="9"/>
      <c r="F2" s="9"/>
    </row>
    <row r="3" spans="1:6">
      <c r="A3" s="9"/>
      <c r="B3" s="9"/>
      <c r="C3" s="9"/>
      <c r="D3" s="9"/>
      <c r="E3" s="9"/>
      <c r="F3" s="9"/>
    </row>
    <row r="4" spans="1:6">
      <c r="A4" s="9"/>
      <c r="B4" s="9"/>
      <c r="C4" s="9"/>
      <c r="D4" s="9"/>
      <c r="E4" s="9"/>
      <c r="F4" s="9"/>
    </row>
    <row r="5" spans="1:6">
      <c r="A5" s="9"/>
      <c r="B5" s="9"/>
      <c r="C5" s="9"/>
      <c r="D5" s="9"/>
      <c r="E5" s="9"/>
      <c r="F5" s="9"/>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AF38"/>
  <sheetViews>
    <sheetView showGridLines="0" workbookViewId="0">
      <selection activeCell="C5" sqref="C5"/>
    </sheetView>
  </sheetViews>
  <sheetFormatPr baseColWidth="10" defaultRowHeight="12.75"/>
  <cols>
    <col min="1" max="1" width="12" customWidth="1"/>
    <col min="2" max="2" width="12.5703125" customWidth="1"/>
    <col min="3" max="3" width="16.7109375" customWidth="1"/>
    <col min="4" max="4" width="13.85546875" customWidth="1"/>
    <col min="5" max="5" width="8.5703125" customWidth="1"/>
    <col min="6" max="6" width="13" customWidth="1"/>
    <col min="7" max="7" width="24.28515625" customWidth="1"/>
    <col min="8" max="8" width="5.85546875" customWidth="1"/>
    <col min="9" max="9" width="7.7109375" customWidth="1"/>
    <col min="10" max="10" width="13.42578125" customWidth="1"/>
    <col min="13" max="13" width="15.28515625" customWidth="1"/>
  </cols>
  <sheetData>
    <row r="1" spans="1:32" s="154" customFormat="1" ht="15.75">
      <c r="A1" s="290" t="s">
        <v>335</v>
      </c>
      <c r="B1" s="152"/>
      <c r="C1" s="152"/>
      <c r="D1" s="152"/>
      <c r="E1" s="152"/>
      <c r="F1" s="153"/>
      <c r="G1" s="152"/>
      <c r="N1" s="154" t="s">
        <v>188</v>
      </c>
      <c r="R1" s="154" t="s">
        <v>189</v>
      </c>
      <c r="V1" s="154" t="s">
        <v>190</v>
      </c>
      <c r="Z1" s="154" t="s">
        <v>191</v>
      </c>
      <c r="AD1" s="154" t="s">
        <v>192</v>
      </c>
    </row>
    <row r="2" spans="1:32" s="154" customFormat="1" ht="15">
      <c r="A2" s="291" t="s">
        <v>334</v>
      </c>
      <c r="B2" s="152"/>
      <c r="C2" s="152"/>
      <c r="D2" s="152"/>
      <c r="E2" s="152"/>
      <c r="F2" s="153"/>
      <c r="G2" s="152"/>
    </row>
    <row r="3" spans="1:32" s="154" customFormat="1" ht="15">
      <c r="A3" s="291"/>
      <c r="B3" s="152"/>
      <c r="C3" s="152"/>
      <c r="D3" s="152"/>
      <c r="E3" s="152"/>
      <c r="F3" s="153"/>
      <c r="G3" s="152"/>
    </row>
    <row r="4" spans="1:32" s="154" customFormat="1" ht="15">
      <c r="A4" s="152"/>
      <c r="B4" s="155" t="s">
        <v>142</v>
      </c>
      <c r="C4" s="156">
        <v>100</v>
      </c>
      <c r="D4" s="152"/>
      <c r="E4" s="152"/>
      <c r="F4" s="152"/>
      <c r="G4" s="152"/>
      <c r="N4" s="157" t="s">
        <v>193</v>
      </c>
      <c r="O4" s="157" t="s">
        <v>194</v>
      </c>
      <c r="P4" s="157" t="s">
        <v>195</v>
      </c>
      <c r="R4" s="157" t="s">
        <v>193</v>
      </c>
      <c r="S4" s="157" t="s">
        <v>194</v>
      </c>
      <c r="T4" s="157" t="s">
        <v>195</v>
      </c>
      <c r="V4" s="157" t="s">
        <v>193</v>
      </c>
      <c r="W4" s="157" t="s">
        <v>194</v>
      </c>
      <c r="X4" s="157" t="s">
        <v>195</v>
      </c>
      <c r="Z4" s="157" t="s">
        <v>193</v>
      </c>
      <c r="AA4" s="157" t="s">
        <v>194</v>
      </c>
      <c r="AB4" s="157" t="s">
        <v>195</v>
      </c>
      <c r="AD4" s="157" t="s">
        <v>193</v>
      </c>
      <c r="AE4" s="157" t="s">
        <v>194</v>
      </c>
      <c r="AF4" s="157" t="s">
        <v>195</v>
      </c>
    </row>
    <row r="5" spans="1:32" s="154" customFormat="1" ht="15.75">
      <c r="A5" s="152"/>
      <c r="B5" s="155" t="s">
        <v>68</v>
      </c>
      <c r="C5" s="158">
        <v>36373</v>
      </c>
      <c r="D5" s="152"/>
      <c r="E5" s="152"/>
      <c r="F5" s="152"/>
      <c r="G5" s="152"/>
      <c r="N5" s="3">
        <v>1</v>
      </c>
      <c r="O5" s="159">
        <f>B7</f>
        <v>2.2499999999999999E-2</v>
      </c>
      <c r="P5" s="3">
        <f t="shared" ref="P5:P19" si="0">$B$7*(1+O5)^5+$B$8*(1+O5)^4+$B$9*(1+O5)^3+$B$10*(1+O5)^2+$B$11*(1+O5)+$B$12+1-(1+O5)^6</f>
        <v>0.10872525127382837</v>
      </c>
      <c r="R5" s="3">
        <v>1</v>
      </c>
      <c r="S5" s="159">
        <f>B7</f>
        <v>2.2499999999999999E-2</v>
      </c>
      <c r="T5" s="3">
        <f t="shared" ref="T5:T19" si="1">$B$7*(1+S5)^4+$B$8*(1+S5)^3+$B$9*(1+S5)^2+$B$10*(1+S5)^1+$B$11+1-(1+S5)^5</f>
        <v>7.6992910781250146E-2</v>
      </c>
      <c r="V5" s="3">
        <v>1</v>
      </c>
      <c r="W5" s="159">
        <f>$B$7</f>
        <v>2.2499999999999999E-2</v>
      </c>
      <c r="X5" s="3">
        <f t="shared" ref="X5:X19" si="2">$B$7*(1+W5)^3+$B$8*(1+W5)^2+$B$9*(1+W5)^1+$B$10+1-(1+W5)^4</f>
        <v>5.0848812500000173E-2</v>
      </c>
      <c r="Z5" s="3">
        <v>1</v>
      </c>
      <c r="AA5" s="159">
        <f>$B$7</f>
        <v>2.2499999999999999E-2</v>
      </c>
      <c r="AB5" s="3">
        <f t="shared" ref="AB5:AB18" si="3">$B$7*(1+AA5)^2+$B$8*(1+AA5)+$B$9+1-(1+AA5)^3</f>
        <v>2.7725000000000222E-2</v>
      </c>
      <c r="AD5" s="3">
        <v>1</v>
      </c>
      <c r="AE5" s="159">
        <f>$B$7</f>
        <v>2.2499999999999999E-2</v>
      </c>
      <c r="AF5" s="3">
        <f t="shared" ref="AF5:AF19" si="4">$B$7*(1+AE5)+$B$8+1-(1+AE5)^2</f>
        <v>1.0000000000000231E-2</v>
      </c>
    </row>
    <row r="6" spans="1:32" s="154" customFormat="1" ht="64.5">
      <c r="A6" s="152"/>
      <c r="B6" s="160" t="s">
        <v>33</v>
      </c>
      <c r="C6" s="161" t="s">
        <v>327</v>
      </c>
      <c r="D6" s="161" t="s">
        <v>322</v>
      </c>
      <c r="E6" s="152"/>
      <c r="F6" s="161" t="s">
        <v>328</v>
      </c>
      <c r="G6" s="152"/>
      <c r="J6" s="162" t="s">
        <v>196</v>
      </c>
      <c r="N6" s="3">
        <v>2</v>
      </c>
      <c r="O6" s="159">
        <f>B8</f>
        <v>3.2500000000000001E-2</v>
      </c>
      <c r="P6" s="3">
        <f t="shared" si="0"/>
        <v>4.5334362252643867E-2</v>
      </c>
      <c r="R6" s="3">
        <v>2</v>
      </c>
      <c r="S6" s="159">
        <f>B8</f>
        <v>3.2500000000000001E-2</v>
      </c>
      <c r="T6" s="3">
        <f t="shared" si="1"/>
        <v>2.4536912593359439E-2</v>
      </c>
      <c r="V6" s="3">
        <v>2</v>
      </c>
      <c r="W6" s="159">
        <f>$B$8</f>
        <v>3.2500000000000001E-2</v>
      </c>
      <c r="X6" s="3">
        <f t="shared" si="2"/>
        <v>9.2367192187501335E-3</v>
      </c>
      <c r="Z6" s="3">
        <v>2</v>
      </c>
      <c r="AA6" s="159">
        <f>$B$8</f>
        <v>3.2500000000000001E-2</v>
      </c>
      <c r="AB6" s="3">
        <f t="shared" si="3"/>
        <v>-3.1605624999997417E-3</v>
      </c>
      <c r="AD6" s="3">
        <v>2</v>
      </c>
      <c r="AE6" s="159">
        <f>$B$8</f>
        <v>3.2500000000000001E-2</v>
      </c>
      <c r="AF6" s="3">
        <f t="shared" si="4"/>
        <v>-1.0324999999999918E-2</v>
      </c>
    </row>
    <row r="7" spans="1:32" s="154" customFormat="1" ht="41.25" customHeight="1">
      <c r="A7" s="160" t="s">
        <v>197</v>
      </c>
      <c r="B7" s="163">
        <v>2.2499999999999999E-2</v>
      </c>
      <c r="C7" s="164">
        <f>C4*(1+B7)</f>
        <v>102.25</v>
      </c>
      <c r="D7" s="165">
        <f>B7</f>
        <v>2.2499999999999999E-2</v>
      </c>
      <c r="E7" s="152"/>
      <c r="F7" s="165">
        <f>D7</f>
        <v>2.2499999999999999E-2</v>
      </c>
      <c r="G7" s="152"/>
      <c r="J7" s="154" t="s">
        <v>198</v>
      </c>
      <c r="K7"/>
      <c r="N7" s="3">
        <v>3</v>
      </c>
      <c r="O7" s="166">
        <f>IF(ABS(O5-O6)&lt;0.000000001,O6,O6+(O5-O6)*P6/(P6-P5))</f>
        <v>3.9651558047638938E-2</v>
      </c>
      <c r="P7" s="3">
        <f t="shared" si="0"/>
        <v>-2.0070218900867243E-3</v>
      </c>
      <c r="R7" s="3">
        <v>3</v>
      </c>
      <c r="S7" s="166">
        <f>IF(ABS(S5-S6)&lt;0.000000001,S6,S6+(S5-S6)*T6/(T6-T5))</f>
        <v>3.7177618087729708E-2</v>
      </c>
      <c r="T7" s="3">
        <f t="shared" si="1"/>
        <v>-7.3234003647559831E-4</v>
      </c>
      <c r="V7" s="3">
        <v>3</v>
      </c>
      <c r="W7" s="166">
        <f>IF(ABS(W5-W6)&lt;0.000000001,W6,W6+(W5-W6)*X6/(X6-X5))</f>
        <v>3.4719719915631379E-2</v>
      </c>
      <c r="X7" s="3">
        <f t="shared" si="2"/>
        <v>-1.6986001103980186E-4</v>
      </c>
      <c r="Z7" s="3">
        <v>3</v>
      </c>
      <c r="AA7" s="166">
        <f>IF(ABS(AA5-AA6)&lt;0.000000001,AA6,AA6+(AA5-AA6)*AB6/(AB6-AB5))</f>
        <v>3.1476686113455193E-2</v>
      </c>
      <c r="AB7" s="3">
        <f t="shared" si="3"/>
        <v>2.8145590427852696E-5</v>
      </c>
      <c r="AD7" s="3">
        <v>3</v>
      </c>
      <c r="AE7" s="166">
        <f>IF(ABS(AE5-AE6)&lt;0.000000001,AE6,AE6+(AE5-AE6)*AF6/(AF6-AF5))</f>
        <v>2.7420049200492083E-2</v>
      </c>
      <c r="AF7" s="3">
        <f t="shared" si="4"/>
        <v>2.4993607869339129E-5</v>
      </c>
    </row>
    <row r="8" spans="1:32" s="154" customFormat="1" ht="15">
      <c r="A8" s="160" t="s">
        <v>199</v>
      </c>
      <c r="B8" s="163">
        <v>3.2500000000000001E-2</v>
      </c>
      <c r="C8" s="164">
        <f t="shared" ref="C8:C13" si="5">C7*(1+B8)</f>
        <v>105.57312499999999</v>
      </c>
      <c r="D8" s="165">
        <f>((1+B7)*(1+B8))^(1/2)-1</f>
        <v>2.7487834477858852E-2</v>
      </c>
      <c r="E8" s="152"/>
      <c r="F8" s="165">
        <f>AE19</f>
        <v>2.7432347071626846E-2</v>
      </c>
      <c r="G8" s="152"/>
      <c r="J8" s="167">
        <f>DATE(YEAR($C$5)+1,MONTH($C$5),DAY($C$5))</f>
        <v>36739</v>
      </c>
      <c r="K8" s="150">
        <f t="shared" ref="K8:K14" si="6">C7</f>
        <v>102.25</v>
      </c>
      <c r="L8" s="168">
        <f t="shared" ref="L8:L13" si="7">B8</f>
        <v>3.2500000000000001E-2</v>
      </c>
      <c r="M8" s="167">
        <f t="shared" ref="M8:M13" si="8">J9</f>
        <v>37104</v>
      </c>
      <c r="N8" s="3">
        <v>4</v>
      </c>
      <c r="O8" s="166">
        <f t="shared" ref="O8:O19" si="9">IF(ABS(O6-O7)&lt;0.000000001,O7,O7+(O6-O7)*P7/(P7-P6))</f>
        <v>3.9348370174919309E-2</v>
      </c>
      <c r="P8" s="3">
        <f t="shared" si="0"/>
        <v>3.4731889951622463E-5</v>
      </c>
      <c r="R8" s="3">
        <v>4</v>
      </c>
      <c r="S8" s="166">
        <f t="shared" ref="S8:S19" si="10">IF(ABS(S6-S7)&lt;0.000000001,S7,S7+(S6-S7)*T7/(T7-T6))</f>
        <v>3.7042053848803928E-2</v>
      </c>
      <c r="T8" s="3">
        <f t="shared" si="1"/>
        <v>6.6622478951394726E-6</v>
      </c>
      <c r="V8" s="3">
        <v>4</v>
      </c>
      <c r="W8" s="166">
        <f t="shared" ref="W8:W19" si="11">IF(ABS(W6-W7)&lt;0.000000001,W7,W7+(W6-W7)*X7/(X7-X6))</f>
        <v>3.4679637156515251E-2</v>
      </c>
      <c r="X8" s="3">
        <f t="shared" si="2"/>
        <v>5.5147335231708894E-7</v>
      </c>
      <c r="Z8" s="3">
        <v>4</v>
      </c>
      <c r="AA8" s="166">
        <f t="shared" ref="AA8:AA19" si="12">IF(ABS(AA6-AA7)&lt;0.000000001,AA7,AA7+(AA6-AA7)*AB7/(AB7-AB6))</f>
        <v>3.1485718540605327E-2</v>
      </c>
      <c r="AB8" s="3">
        <f t="shared" si="3"/>
        <v>2.8152709941053899E-8</v>
      </c>
      <c r="AD8" s="3">
        <v>4</v>
      </c>
      <c r="AE8" s="166">
        <f t="shared" ref="AE8:AE19" si="13">IF(ABS(AE6-AE7)&lt;0.000000001,AE7,AE7+(AE6-AE7)*AF7/(AF7-AF6))</f>
        <v>2.7432316483264305E-2</v>
      </c>
      <c r="AF8" s="3">
        <f t="shared" si="4"/>
        <v>6.2166706671362704E-8</v>
      </c>
    </row>
    <row r="9" spans="1:32" s="154" customFormat="1" ht="15">
      <c r="A9" s="160" t="s">
        <v>200</v>
      </c>
      <c r="B9" s="163">
        <v>0.04</v>
      </c>
      <c r="C9" s="164">
        <f t="shared" si="5"/>
        <v>109.79604999999999</v>
      </c>
      <c r="D9" s="165">
        <f>((1+B7)*(1+B8)*(1+B9))^(1/3)-1</f>
        <v>3.1641740365941695E-2</v>
      </c>
      <c r="E9" s="152"/>
      <c r="F9" s="165">
        <f>AA19</f>
        <v>3.1485727584282419E-2</v>
      </c>
      <c r="G9" s="152"/>
      <c r="J9" s="167">
        <f>DATE(YEAR($C$5)+2,MONTH($C$5),DAY($C$5))</f>
        <v>37104</v>
      </c>
      <c r="K9" s="150">
        <f t="shared" si="6"/>
        <v>105.57312499999999</v>
      </c>
      <c r="L9" s="168">
        <f t="shared" si="7"/>
        <v>0.04</v>
      </c>
      <c r="M9" s="167">
        <f t="shared" si="8"/>
        <v>37469</v>
      </c>
      <c r="N9" s="3">
        <v>5</v>
      </c>
      <c r="O9" s="166">
        <f t="shared" si="9"/>
        <v>3.9353527646859815E-2</v>
      </c>
      <c r="P9" s="3">
        <f t="shared" si="0"/>
        <v>2.5942507697607198E-8</v>
      </c>
      <c r="R9" s="3">
        <v>5</v>
      </c>
      <c r="S9" s="166">
        <f t="shared" si="10"/>
        <v>3.7043275986521955E-2</v>
      </c>
      <c r="T9" s="3">
        <f t="shared" si="1"/>
        <v>1.7843722055488342E-9</v>
      </c>
      <c r="V9" s="3">
        <v>5</v>
      </c>
      <c r="W9" s="166">
        <f t="shared" si="11"/>
        <v>3.4679766869448736E-2</v>
      </c>
      <c r="X9" s="3">
        <f t="shared" si="2"/>
        <v>3.2759128743009569E-11</v>
      </c>
      <c r="Z9" s="3">
        <v>5</v>
      </c>
      <c r="AA9" s="166">
        <f t="shared" si="12"/>
        <v>3.1485727584363306E-2</v>
      </c>
      <c r="AB9" s="3">
        <f t="shared" si="3"/>
        <v>-2.517985819849855E-13</v>
      </c>
      <c r="AD9" s="3">
        <v>5</v>
      </c>
      <c r="AE9" s="166">
        <f t="shared" si="13"/>
        <v>2.7432347071811705E-2</v>
      </c>
      <c r="AF9" s="3">
        <f t="shared" si="4"/>
        <v>-3.7569947153315297E-13</v>
      </c>
    </row>
    <row r="10" spans="1:32" s="154" customFormat="1" ht="15">
      <c r="A10" s="160" t="s">
        <v>201</v>
      </c>
      <c r="B10" s="163">
        <v>4.4999999999999998E-2</v>
      </c>
      <c r="C10" s="164">
        <f t="shared" si="5"/>
        <v>114.73687224999999</v>
      </c>
      <c r="D10" s="165">
        <f>((1+B7)*(1+B8)*(1+B9)*(1+B10))^(1/4)-1</f>
        <v>3.4965210738620023E-2</v>
      </c>
      <c r="E10" s="152"/>
      <c r="F10" s="165">
        <f>W19</f>
        <v>3.4679766877154523E-2</v>
      </c>
      <c r="G10" s="152"/>
      <c r="J10" s="167">
        <f>DATE(YEAR($C$5)+3,MONTH($C$5),DAY($C$5))</f>
        <v>37469</v>
      </c>
      <c r="K10" s="150">
        <f t="shared" si="6"/>
        <v>109.79604999999999</v>
      </c>
      <c r="L10" s="168">
        <f t="shared" si="7"/>
        <v>4.4999999999999998E-2</v>
      </c>
      <c r="M10" s="167">
        <f t="shared" si="8"/>
        <v>37834</v>
      </c>
      <c r="N10" s="3">
        <v>6</v>
      </c>
      <c r="O10" s="166">
        <f t="shared" si="9"/>
        <v>3.9353531502042148E-2</v>
      </c>
      <c r="P10" s="3">
        <f t="shared" si="0"/>
        <v>-3.3661962106634746E-13</v>
      </c>
      <c r="R10" s="3">
        <v>6</v>
      </c>
      <c r="S10" s="166">
        <f t="shared" si="10"/>
        <v>3.7043276313938896E-2</v>
      </c>
      <c r="T10" s="3">
        <f t="shared" si="1"/>
        <v>-4.6629367034256575E-15</v>
      </c>
      <c r="V10" s="3">
        <v>6</v>
      </c>
      <c r="W10" s="166">
        <f t="shared" si="11"/>
        <v>3.4679766877154523E-2</v>
      </c>
      <c r="X10" s="3">
        <f t="shared" si="2"/>
        <v>0</v>
      </c>
      <c r="Z10" s="3">
        <v>6</v>
      </c>
      <c r="AA10" s="166">
        <f t="shared" si="12"/>
        <v>3.1485727584282419E-2</v>
      </c>
      <c r="AB10" s="3">
        <f t="shared" si="3"/>
        <v>0</v>
      </c>
      <c r="AD10" s="3">
        <v>6</v>
      </c>
      <c r="AE10" s="166">
        <f t="shared" si="13"/>
        <v>2.7432347071626846E-2</v>
      </c>
      <c r="AF10" s="3">
        <f t="shared" si="4"/>
        <v>0</v>
      </c>
    </row>
    <row r="11" spans="1:32" s="154" customFormat="1" ht="15">
      <c r="A11" s="160" t="s">
        <v>202</v>
      </c>
      <c r="B11" s="163">
        <v>4.7500000000000001E-2</v>
      </c>
      <c r="C11" s="164">
        <f t="shared" si="5"/>
        <v>120.186873681875</v>
      </c>
      <c r="D11" s="165">
        <f>((1+B7)*(1+B8)*(1+B9)*(1+B10)*(1+B11))^(1/5)-1</f>
        <v>3.7460111082716185E-2</v>
      </c>
      <c r="E11" s="152"/>
      <c r="F11" s="165">
        <f>S19</f>
        <v>3.7043276313938896E-2</v>
      </c>
      <c r="G11" s="152"/>
      <c r="J11" s="167">
        <f>DATE(YEAR($C$5)+4,MONTH($C$5),DAY($C$5))</f>
        <v>37834</v>
      </c>
      <c r="K11" s="150">
        <f t="shared" si="6"/>
        <v>114.73687224999999</v>
      </c>
      <c r="L11" s="168">
        <f t="shared" si="7"/>
        <v>4.7500000000000001E-2</v>
      </c>
      <c r="M11" s="167">
        <f t="shared" si="8"/>
        <v>38200</v>
      </c>
      <c r="N11" s="3">
        <v>7</v>
      </c>
      <c r="O11" s="166">
        <f t="shared" si="9"/>
        <v>3.9353531501992126E-2</v>
      </c>
      <c r="P11" s="3">
        <f t="shared" si="0"/>
        <v>0</v>
      </c>
      <c r="R11" s="3">
        <v>7</v>
      </c>
      <c r="S11" s="166">
        <f t="shared" si="10"/>
        <v>3.7043276313938896E-2</v>
      </c>
      <c r="T11" s="3">
        <f t="shared" si="1"/>
        <v>-4.6629367034256575E-15</v>
      </c>
      <c r="V11" s="3">
        <v>7</v>
      </c>
      <c r="W11" s="166">
        <f t="shared" si="11"/>
        <v>3.4679766877154523E-2</v>
      </c>
      <c r="X11" s="3">
        <f t="shared" si="2"/>
        <v>0</v>
      </c>
      <c r="Z11" s="3">
        <v>7</v>
      </c>
      <c r="AA11" s="166">
        <f t="shared" si="12"/>
        <v>3.1485727584282419E-2</v>
      </c>
      <c r="AB11" s="3">
        <f t="shared" si="3"/>
        <v>0</v>
      </c>
      <c r="AD11" s="3">
        <v>7</v>
      </c>
      <c r="AE11" s="166">
        <f t="shared" si="13"/>
        <v>2.7432347071626846E-2</v>
      </c>
      <c r="AF11" s="3">
        <f t="shared" si="4"/>
        <v>0</v>
      </c>
    </row>
    <row r="12" spans="1:32" s="154" customFormat="1" ht="15.75">
      <c r="A12" s="160" t="s">
        <v>203</v>
      </c>
      <c r="B12" s="163">
        <v>5.2499999999999998E-2</v>
      </c>
      <c r="C12" s="164">
        <f t="shared" si="5"/>
        <v>126.49668455017344</v>
      </c>
      <c r="D12" s="165">
        <f>((1+B7)*(1+B8)*(1+B9)*(1+B10)*(1+B11)*(1+B12))^(1/6)-1</f>
        <v>3.9951750982560652E-2</v>
      </c>
      <c r="E12" s="152"/>
      <c r="F12" s="226">
        <f>O19</f>
        <v>3.9353531501992126E-2</v>
      </c>
      <c r="G12" s="152"/>
      <c r="J12" s="167">
        <f>DATE(YEAR($C$5)+5,MONTH($C$5),DAY($C$5))</f>
        <v>38200</v>
      </c>
      <c r="K12" s="150">
        <f t="shared" si="6"/>
        <v>120.186873681875</v>
      </c>
      <c r="L12" s="168">
        <f t="shared" si="7"/>
        <v>5.2499999999999998E-2</v>
      </c>
      <c r="M12" s="167">
        <f t="shared" si="8"/>
        <v>38565</v>
      </c>
      <c r="N12" s="3">
        <v>8</v>
      </c>
      <c r="O12" s="166">
        <f t="shared" si="9"/>
        <v>3.9353531501992126E-2</v>
      </c>
      <c r="P12" s="3">
        <f t="shared" si="0"/>
        <v>0</v>
      </c>
      <c r="R12" s="3">
        <v>8</v>
      </c>
      <c r="S12" s="166">
        <f t="shared" si="10"/>
        <v>3.7043276313938896E-2</v>
      </c>
      <c r="T12" s="3">
        <f t="shared" si="1"/>
        <v>-4.6629367034256575E-15</v>
      </c>
      <c r="V12" s="3">
        <v>8</v>
      </c>
      <c r="W12" s="166">
        <f t="shared" si="11"/>
        <v>3.4679766877154523E-2</v>
      </c>
      <c r="X12" s="3">
        <f t="shared" si="2"/>
        <v>0</v>
      </c>
      <c r="Z12" s="3">
        <v>8</v>
      </c>
      <c r="AA12" s="166">
        <f t="shared" si="12"/>
        <v>3.1485727584282419E-2</v>
      </c>
      <c r="AB12" s="3">
        <f t="shared" si="3"/>
        <v>0</v>
      </c>
      <c r="AD12" s="3">
        <v>8</v>
      </c>
      <c r="AE12" s="166">
        <f t="shared" si="13"/>
        <v>2.7432347071626846E-2</v>
      </c>
      <c r="AF12" s="3">
        <f t="shared" si="4"/>
        <v>0</v>
      </c>
    </row>
    <row r="13" spans="1:32" s="154" customFormat="1" ht="15.75">
      <c r="A13" s="160" t="s">
        <v>204</v>
      </c>
      <c r="B13" s="163">
        <v>5.2499999999999998E-2</v>
      </c>
      <c r="C13" s="169">
        <f t="shared" si="5"/>
        <v>133.13776048905754</v>
      </c>
      <c r="D13" s="165">
        <f>(((1+B7)*(1+B8)*(1+B9)*(1+B10)*(1+B11)*(1+B12)*(1+B13))^(1/7)-1)</f>
        <v>4.1735156668055717E-2</v>
      </c>
      <c r="E13" s="152"/>
      <c r="F13" s="274">
        <f>O38</f>
        <v>4.0989889943948948E-2</v>
      </c>
      <c r="G13" s="152"/>
      <c r="J13" s="167">
        <f>DATE(YEAR($C$5)+6,MONTH($C$5),DAY($C$5))</f>
        <v>38565</v>
      </c>
      <c r="K13" s="150">
        <f t="shared" si="6"/>
        <v>126.49668455017344</v>
      </c>
      <c r="L13" s="168">
        <f t="shared" si="7"/>
        <v>5.2499999999999998E-2</v>
      </c>
      <c r="M13" s="167">
        <f t="shared" si="8"/>
        <v>38930</v>
      </c>
      <c r="N13" s="3">
        <v>9</v>
      </c>
      <c r="O13" s="166">
        <f t="shared" si="9"/>
        <v>3.9353531501992126E-2</v>
      </c>
      <c r="P13" s="3">
        <f t="shared" si="0"/>
        <v>0</v>
      </c>
      <c r="R13" s="3">
        <v>9</v>
      </c>
      <c r="S13" s="166">
        <f t="shared" si="10"/>
        <v>3.7043276313938896E-2</v>
      </c>
      <c r="T13" s="3">
        <f t="shared" si="1"/>
        <v>-4.6629367034256575E-15</v>
      </c>
      <c r="V13" s="3">
        <v>9</v>
      </c>
      <c r="W13" s="166">
        <f t="shared" si="11"/>
        <v>3.4679766877154523E-2</v>
      </c>
      <c r="X13" s="3">
        <f t="shared" si="2"/>
        <v>0</v>
      </c>
      <c r="Z13" s="3">
        <v>9</v>
      </c>
      <c r="AA13" s="166">
        <f t="shared" si="12"/>
        <v>3.1485727584282419E-2</v>
      </c>
      <c r="AB13" s="3">
        <f t="shared" si="3"/>
        <v>0</v>
      </c>
      <c r="AD13" s="3">
        <v>9</v>
      </c>
      <c r="AE13" s="166">
        <f t="shared" si="13"/>
        <v>2.7432347071626846E-2</v>
      </c>
      <c r="AF13" s="3">
        <f t="shared" si="4"/>
        <v>0</v>
      </c>
    </row>
    <row r="14" spans="1:32" s="154" customFormat="1" ht="15">
      <c r="A14" s="9"/>
      <c r="B14" s="9"/>
      <c r="C14" s="9"/>
      <c r="D14" s="9"/>
      <c r="E14" s="9"/>
      <c r="F14" s="9"/>
      <c r="G14" s="152"/>
      <c r="J14" s="167">
        <f>DATE(YEAR($C$5)+7,MONTH($C$5),DAY($C$5))</f>
        <v>38930</v>
      </c>
      <c r="K14" s="150">
        <f t="shared" si="6"/>
        <v>133.13776048905754</v>
      </c>
      <c r="L14" s="168"/>
      <c r="M14" s="168"/>
      <c r="N14" s="3">
        <v>10</v>
      </c>
      <c r="O14" s="166">
        <f t="shared" si="9"/>
        <v>3.9353531501992126E-2</v>
      </c>
      <c r="P14" s="3">
        <f t="shared" si="0"/>
        <v>0</v>
      </c>
      <c r="R14" s="3">
        <v>10</v>
      </c>
      <c r="S14" s="166">
        <f t="shared" si="10"/>
        <v>3.7043276313938896E-2</v>
      </c>
      <c r="T14" s="3">
        <f t="shared" si="1"/>
        <v>-4.6629367034256575E-15</v>
      </c>
      <c r="V14" s="3">
        <v>10</v>
      </c>
      <c r="W14" s="166">
        <f t="shared" si="11"/>
        <v>3.4679766877154523E-2</v>
      </c>
      <c r="X14" s="3">
        <f t="shared" si="2"/>
        <v>0</v>
      </c>
      <c r="Z14" s="3">
        <v>10</v>
      </c>
      <c r="AA14" s="166">
        <f t="shared" si="12"/>
        <v>3.1485727584282419E-2</v>
      </c>
      <c r="AB14" s="3">
        <f t="shared" si="3"/>
        <v>0</v>
      </c>
      <c r="AD14" s="3">
        <v>10</v>
      </c>
      <c r="AE14" s="166">
        <f t="shared" si="13"/>
        <v>2.7432347071626846E-2</v>
      </c>
      <c r="AF14" s="3">
        <f t="shared" si="4"/>
        <v>0</v>
      </c>
    </row>
    <row r="15" spans="1:32" ht="15">
      <c r="A15" s="9"/>
      <c r="B15" s="170" t="s">
        <v>205</v>
      </c>
      <c r="C15" s="171">
        <f>AVERAGE(B7:B13)</f>
        <v>4.178571428571428E-2</v>
      </c>
      <c r="D15" s="9"/>
      <c r="E15" s="152"/>
      <c r="F15" s="152"/>
      <c r="G15" s="152"/>
      <c r="N15" s="3">
        <v>11</v>
      </c>
      <c r="O15" s="166">
        <f t="shared" si="9"/>
        <v>3.9353531501992126E-2</v>
      </c>
      <c r="P15" s="3">
        <f t="shared" si="0"/>
        <v>0</v>
      </c>
      <c r="R15" s="3">
        <v>11</v>
      </c>
      <c r="S15" s="166">
        <f t="shared" si="10"/>
        <v>3.7043276313938896E-2</v>
      </c>
      <c r="T15" s="3">
        <f t="shared" si="1"/>
        <v>-4.6629367034256575E-15</v>
      </c>
      <c r="V15" s="3">
        <v>11</v>
      </c>
      <c r="W15" s="166">
        <f t="shared" si="11"/>
        <v>3.4679766877154523E-2</v>
      </c>
      <c r="X15" s="3">
        <f t="shared" si="2"/>
        <v>0</v>
      </c>
      <c r="Z15" s="3">
        <v>11</v>
      </c>
      <c r="AA15" s="166">
        <f t="shared" si="12"/>
        <v>3.1485727584282419E-2</v>
      </c>
      <c r="AB15" s="3">
        <f t="shared" si="3"/>
        <v>0</v>
      </c>
      <c r="AD15" s="3">
        <v>11</v>
      </c>
      <c r="AE15" s="166">
        <f t="shared" si="13"/>
        <v>2.7432347071626846E-2</v>
      </c>
      <c r="AF15" s="3">
        <f t="shared" si="4"/>
        <v>0</v>
      </c>
    </row>
    <row r="16" spans="1:32" s="154" customFormat="1" ht="15.75">
      <c r="A16" s="9"/>
      <c r="B16" s="172" t="s">
        <v>323</v>
      </c>
      <c r="C16" s="173">
        <f>(((1+B7)*(1+B8)*(1+B9)*(1+B10)*(1+B11)*(1+B12)*(1+B13))^(1/7)-1)</f>
        <v>4.1735156668055717E-2</v>
      </c>
      <c r="D16" s="174" t="s">
        <v>206</v>
      </c>
      <c r="E16" s="152"/>
      <c r="F16" s="152"/>
      <c r="G16" s="152"/>
      <c r="N16" s="3">
        <v>12</v>
      </c>
      <c r="O16" s="166">
        <f t="shared" si="9"/>
        <v>3.9353531501992126E-2</v>
      </c>
      <c r="P16" s="3">
        <f t="shared" si="0"/>
        <v>0</v>
      </c>
      <c r="R16" s="3">
        <v>12</v>
      </c>
      <c r="S16" s="166">
        <f t="shared" si="10"/>
        <v>3.7043276313938896E-2</v>
      </c>
      <c r="T16" s="3">
        <f t="shared" si="1"/>
        <v>-4.6629367034256575E-15</v>
      </c>
      <c r="V16" s="3">
        <v>12</v>
      </c>
      <c r="W16" s="166">
        <f t="shared" si="11"/>
        <v>3.4679766877154523E-2</v>
      </c>
      <c r="X16" s="3">
        <f t="shared" si="2"/>
        <v>0</v>
      </c>
      <c r="Z16" s="3">
        <v>12</v>
      </c>
      <c r="AA16" s="166">
        <f t="shared" si="12"/>
        <v>3.1485727584282419E-2</v>
      </c>
      <c r="AB16" s="3">
        <f t="shared" si="3"/>
        <v>0</v>
      </c>
      <c r="AD16" s="3">
        <v>12</v>
      </c>
      <c r="AE16" s="166">
        <f t="shared" si="13"/>
        <v>2.7432347071626846E-2</v>
      </c>
      <c r="AF16" s="3">
        <f t="shared" si="4"/>
        <v>0</v>
      </c>
    </row>
    <row r="17" spans="1:32" s="154" customFormat="1" ht="15">
      <c r="A17" s="9"/>
      <c r="B17" s="133"/>
      <c r="C17" s="9"/>
      <c r="D17" s="9"/>
      <c r="E17" s="9"/>
      <c r="F17" s="152"/>
      <c r="G17" s="152"/>
      <c r="N17" s="3">
        <v>13</v>
      </c>
      <c r="O17" s="166">
        <f t="shared" si="9"/>
        <v>3.9353531501992126E-2</v>
      </c>
      <c r="P17" s="3">
        <f t="shared" si="0"/>
        <v>0</v>
      </c>
      <c r="R17" s="3">
        <v>13</v>
      </c>
      <c r="S17" s="166">
        <f t="shared" si="10"/>
        <v>3.7043276313938896E-2</v>
      </c>
      <c r="T17" s="3">
        <f t="shared" si="1"/>
        <v>-4.6629367034256575E-15</v>
      </c>
      <c r="V17" s="3">
        <v>13</v>
      </c>
      <c r="W17" s="166">
        <f t="shared" si="11"/>
        <v>3.4679766877154523E-2</v>
      </c>
      <c r="X17" s="3">
        <f t="shared" si="2"/>
        <v>0</v>
      </c>
      <c r="Z17" s="3">
        <v>13</v>
      </c>
      <c r="AA17" s="166">
        <f t="shared" si="12"/>
        <v>3.1485727584282419E-2</v>
      </c>
      <c r="AB17" s="3">
        <f t="shared" si="3"/>
        <v>0</v>
      </c>
      <c r="AD17" s="3">
        <v>13</v>
      </c>
      <c r="AE17" s="166">
        <f t="shared" si="13"/>
        <v>2.7432347071626846E-2</v>
      </c>
      <c r="AF17" s="3">
        <f t="shared" si="4"/>
        <v>0</v>
      </c>
    </row>
    <row r="18" spans="1:32" s="154" customFormat="1" ht="15">
      <c r="A18" s="9"/>
      <c r="B18" s="9" t="s">
        <v>207</v>
      </c>
      <c r="C18" s="174" t="s">
        <v>324</v>
      </c>
      <c r="D18" s="9"/>
      <c r="E18" s="9"/>
      <c r="F18" s="152"/>
      <c r="G18" s="152"/>
      <c r="N18" s="3">
        <v>14</v>
      </c>
      <c r="O18" s="166">
        <f t="shared" si="9"/>
        <v>3.9353531501992126E-2</v>
      </c>
      <c r="P18" s="3">
        <f t="shared" si="0"/>
        <v>0</v>
      </c>
      <c r="R18" s="3">
        <v>14</v>
      </c>
      <c r="S18" s="166">
        <f t="shared" si="10"/>
        <v>3.7043276313938896E-2</v>
      </c>
      <c r="T18" s="3">
        <f t="shared" si="1"/>
        <v>-4.6629367034256575E-15</v>
      </c>
      <c r="V18" s="3">
        <v>14</v>
      </c>
      <c r="W18" s="166">
        <f t="shared" si="11"/>
        <v>3.4679766877154523E-2</v>
      </c>
      <c r="X18" s="3">
        <f t="shared" si="2"/>
        <v>0</v>
      </c>
      <c r="Z18" s="3">
        <v>14</v>
      </c>
      <c r="AA18" s="166">
        <f t="shared" si="12"/>
        <v>3.1485727584282419E-2</v>
      </c>
      <c r="AB18" s="3">
        <f t="shared" si="3"/>
        <v>0</v>
      </c>
      <c r="AD18" s="3">
        <v>14</v>
      </c>
      <c r="AE18" s="166">
        <f t="shared" si="13"/>
        <v>2.7432347071626846E-2</v>
      </c>
      <c r="AF18" s="3">
        <f t="shared" si="4"/>
        <v>0</v>
      </c>
    </row>
    <row r="19" spans="1:32" ht="15">
      <c r="A19" s="9"/>
      <c r="B19" s="175">
        <v>37469</v>
      </c>
      <c r="C19" s="60">
        <f>VLOOKUP(B19,$J$8:$M$14,2)*(1+(B19-VLOOKUP(B19,$J$8:$M$14,1))/(VLOOKUP(B19,$J$8:$M$14,4)-VLOOKUP(B19,$J$8:$M$14,1))*VLOOKUP(B19,$J$8:$M$14,3))</f>
        <v>109.79604999999999</v>
      </c>
      <c r="D19" s="98"/>
      <c r="E19" s="98"/>
      <c r="F19" s="152"/>
      <c r="G19" s="152"/>
      <c r="N19" s="3">
        <v>15</v>
      </c>
      <c r="O19" s="166">
        <f t="shared" si="9"/>
        <v>3.9353531501992126E-2</v>
      </c>
      <c r="P19" s="3">
        <f t="shared" si="0"/>
        <v>0</v>
      </c>
      <c r="R19" s="3">
        <v>15</v>
      </c>
      <c r="S19" s="166">
        <f t="shared" si="10"/>
        <v>3.7043276313938896E-2</v>
      </c>
      <c r="T19" s="3">
        <f t="shared" si="1"/>
        <v>-4.6629367034256575E-15</v>
      </c>
      <c r="V19" s="3">
        <v>15</v>
      </c>
      <c r="W19" s="166">
        <f t="shared" si="11"/>
        <v>3.4679766877154523E-2</v>
      </c>
      <c r="X19" s="3">
        <f t="shared" si="2"/>
        <v>0</v>
      </c>
      <c r="Z19" s="3">
        <v>15</v>
      </c>
      <c r="AA19" s="166">
        <f t="shared" si="12"/>
        <v>3.1485727584282419E-2</v>
      </c>
      <c r="AB19" s="3">
        <f>$B$7*(1+AA19)^2+$B$8*(1+AA19)^2+$B$9+1-(1+AA19)^3</f>
        <v>1.0555050553386902E-3</v>
      </c>
      <c r="AD19" s="3">
        <v>15</v>
      </c>
      <c r="AE19" s="166">
        <f t="shared" si="13"/>
        <v>2.7432347071626846E-2</v>
      </c>
      <c r="AF19" s="3">
        <f t="shared" si="4"/>
        <v>0</v>
      </c>
    </row>
    <row r="20" spans="1:32" ht="15">
      <c r="A20" s="9"/>
      <c r="B20" s="175">
        <v>37530</v>
      </c>
      <c r="C20" s="60">
        <f>VLOOKUP(B20,$J$8:$M$14,2)*(1+(B20-VLOOKUP(B20,$J$8:$M$14,1))/(VLOOKUP(B20,$J$8:$M$14,4)-VLOOKUP(B20,$J$8:$M$14,1))*VLOOKUP(B20,$J$8:$M$14,3))</f>
        <v>110.62177645821916</v>
      </c>
      <c r="D20" s="9"/>
      <c r="E20" s="9"/>
      <c r="F20" s="152"/>
      <c r="G20" s="152"/>
      <c r="N20" s="176"/>
      <c r="O20" s="177"/>
      <c r="P20" s="176"/>
      <c r="R20" s="176"/>
      <c r="S20" s="177"/>
      <c r="T20" s="176"/>
      <c r="V20" s="176"/>
      <c r="W20" s="177"/>
      <c r="X20" s="176"/>
      <c r="Z20" s="176"/>
      <c r="AA20" s="177"/>
      <c r="AB20" s="176"/>
      <c r="AD20" s="176"/>
      <c r="AE20" s="177"/>
      <c r="AF20" s="176"/>
    </row>
    <row r="21" spans="1:32" ht="15">
      <c r="A21" s="9"/>
      <c r="B21" s="175">
        <v>37544</v>
      </c>
      <c r="C21" s="60">
        <f>VLOOKUP(B21,$J$8:$M$14,2)*(1+(B21-VLOOKUP(B21,$J$8:$M$14,1))/(VLOOKUP(B21,$J$8:$M$14,4)-VLOOKUP(B21,$J$8:$M$14,1))*VLOOKUP(B21,$J$8:$M$14,3))</f>
        <v>110.81128744863013</v>
      </c>
      <c r="D21" s="9"/>
      <c r="E21" s="9"/>
      <c r="F21" s="9"/>
      <c r="G21" s="152"/>
      <c r="N21" s="176"/>
      <c r="O21" s="177"/>
      <c r="P21" s="176"/>
      <c r="R21" s="176"/>
      <c r="S21" s="177"/>
      <c r="T21" s="176"/>
      <c r="V21" s="176"/>
      <c r="W21" s="177"/>
      <c r="X21" s="176"/>
      <c r="Z21" s="176"/>
      <c r="AA21" s="177"/>
      <c r="AB21" s="176"/>
      <c r="AD21" s="176"/>
      <c r="AE21" s="177"/>
      <c r="AF21" s="176"/>
    </row>
    <row r="22" spans="1:32" ht="15">
      <c r="A22" s="9"/>
      <c r="B22" s="175">
        <v>37834</v>
      </c>
      <c r="C22" s="60">
        <f>VLOOKUP(B22,$J$8:$M$14,2)*(1+(B22-VLOOKUP(B22,$J$8:$M$14,1))/(VLOOKUP(B22,$J$8:$M$14,4)-VLOOKUP(B22,$J$8:$M$14,1))*VLOOKUP(B22,$J$8:$M$14,3))</f>
        <v>114.73687224999999</v>
      </c>
      <c r="D22" s="9"/>
      <c r="E22" s="9"/>
      <c r="F22" s="9"/>
      <c r="G22" s="152"/>
      <c r="N22" s="154" t="s">
        <v>329</v>
      </c>
      <c r="O22" s="154"/>
      <c r="P22" s="154"/>
      <c r="R22" s="176"/>
      <c r="S22" s="177"/>
      <c r="T22" s="176"/>
      <c r="V22" s="176"/>
      <c r="W22" s="177"/>
      <c r="X22" s="176"/>
      <c r="Z22" s="176"/>
      <c r="AA22" s="177"/>
      <c r="AB22" s="176"/>
      <c r="AD22" s="176"/>
      <c r="AE22" s="177"/>
      <c r="AF22" s="176"/>
    </row>
    <row r="23" spans="1:32" ht="15">
      <c r="A23" s="9"/>
      <c r="B23" s="9"/>
      <c r="C23" s="125"/>
      <c r="D23" s="9"/>
      <c r="E23" s="9"/>
      <c r="F23" s="9"/>
      <c r="G23" s="152"/>
      <c r="N23" s="157" t="s">
        <v>193</v>
      </c>
      <c r="O23" s="157" t="s">
        <v>194</v>
      </c>
      <c r="P23" s="157" t="s">
        <v>195</v>
      </c>
      <c r="R23" s="176"/>
      <c r="S23" s="177"/>
      <c r="T23" s="176"/>
      <c r="V23" s="176"/>
      <c r="W23" s="177"/>
      <c r="X23" s="176"/>
      <c r="Z23" s="176"/>
      <c r="AA23" s="177"/>
      <c r="AB23" s="176"/>
      <c r="AD23" s="176"/>
      <c r="AE23" s="177"/>
      <c r="AF23" s="176"/>
    </row>
    <row r="24" spans="1:32" ht="15">
      <c r="A24" s="8" t="s">
        <v>325</v>
      </c>
      <c r="B24" s="9"/>
      <c r="C24" s="9"/>
      <c r="D24" s="9"/>
      <c r="E24" s="9"/>
      <c r="F24" s="9"/>
      <c r="G24" s="152"/>
      <c r="N24" s="3">
        <v>1</v>
      </c>
      <c r="O24" s="159">
        <f>B7</f>
        <v>2.2499999999999999E-2</v>
      </c>
      <c r="P24" s="159">
        <f>$B$7*(1+O24)^6+$B$8*(1+O24)^5+$B$9*(1+O24)^4+$B$10*(1+O24)^3+$B$11*(1+O24)^2+$B$12*(1+O24)+$B$13+1-(1+O24)^7</f>
        <v>0.14117156942748954</v>
      </c>
    </row>
    <row r="25" spans="1:32" ht="15">
      <c r="A25" s="31" t="s">
        <v>208</v>
      </c>
      <c r="B25" s="29">
        <v>0.03</v>
      </c>
      <c r="C25" s="9" t="s">
        <v>209</v>
      </c>
      <c r="D25" s="178">
        <f>(1+B7*(1+B25)^5+B8*(1+B25)^4+B9*(1+B25)^3+B10*(1+B25)^2+B11*(1+B25)+B12)^(1/6)-1</f>
        <v>3.8655684359946374E-2</v>
      </c>
      <c r="E25" s="9"/>
      <c r="F25" s="9"/>
      <c r="G25" s="152"/>
      <c r="N25" s="3">
        <v>2</v>
      </c>
      <c r="O25" s="159">
        <f>B8</f>
        <v>3.2500000000000001E-2</v>
      </c>
      <c r="P25" s="159">
        <f t="shared" ref="P25:P38" si="14">$B$7*(1+O25)^6+$B$8*(1+O25)^5+$B$9*(1+O25)^4+$B$10*(1+O25)^3+$B$11*(1+O25)^2+$B$12*(1+O25)+$B$13+1-(1+O25)^7</f>
        <v>6.6807729025854634E-2</v>
      </c>
    </row>
    <row r="26" spans="1:32" ht="15">
      <c r="A26" s="9"/>
      <c r="B26" s="9"/>
      <c r="C26" s="9"/>
      <c r="D26" s="9"/>
      <c r="E26" s="9"/>
      <c r="F26" s="153" t="s">
        <v>210</v>
      </c>
      <c r="G26" s="152"/>
      <c r="N26" s="3">
        <v>3</v>
      </c>
      <c r="O26" s="166">
        <f>IF(ABS(O24-O25)&lt;0.000000001,O25,O25+(O24-O25)*P25/(P25-P24))</f>
        <v>4.1483899791219747E-2</v>
      </c>
      <c r="P26" s="159">
        <f t="shared" si="14"/>
        <v>-3.9945591945340642E-3</v>
      </c>
    </row>
    <row r="27" spans="1:32">
      <c r="N27" s="3">
        <v>4</v>
      </c>
      <c r="O27" s="166">
        <f t="shared" ref="O27:O38" si="15">IF(ABS(O25-O26)&lt;0.000000001,O26,O26+(O25-O26)*P26/(P26-P25))</f>
        <v>4.0977041603217634E-2</v>
      </c>
      <c r="P27" s="159">
        <f t="shared" si="14"/>
        <v>1.0373214886794102E-4</v>
      </c>
    </row>
    <row r="28" spans="1:32">
      <c r="N28" s="3">
        <v>5</v>
      </c>
      <c r="O28" s="166">
        <f t="shared" si="15"/>
        <v>4.0989870727505595E-2</v>
      </c>
      <c r="P28" s="159">
        <f t="shared" si="14"/>
        <v>1.5515158580114985E-7</v>
      </c>
    </row>
    <row r="29" spans="1:32">
      <c r="N29" s="3">
        <v>6</v>
      </c>
      <c r="O29" s="166">
        <f t="shared" si="15"/>
        <v>4.0989889944696961E-2</v>
      </c>
      <c r="P29" s="159">
        <f t="shared" si="14"/>
        <v>-6.0393912093559265E-12</v>
      </c>
    </row>
    <row r="30" spans="1:32">
      <c r="N30" s="3">
        <v>7</v>
      </c>
      <c r="O30" s="166">
        <f t="shared" si="15"/>
        <v>4.0989889943948948E-2</v>
      </c>
      <c r="P30" s="159">
        <f t="shared" si="14"/>
        <v>0</v>
      </c>
    </row>
    <row r="31" spans="1:32">
      <c r="N31" s="3">
        <v>8</v>
      </c>
      <c r="O31" s="166">
        <f t="shared" si="15"/>
        <v>4.0989889943948948E-2</v>
      </c>
      <c r="P31" s="159">
        <f t="shared" si="14"/>
        <v>0</v>
      </c>
    </row>
    <row r="32" spans="1:32">
      <c r="N32" s="3">
        <v>9</v>
      </c>
      <c r="O32" s="166">
        <f t="shared" si="15"/>
        <v>4.0989889943948948E-2</v>
      </c>
      <c r="P32" s="159">
        <f t="shared" si="14"/>
        <v>0</v>
      </c>
    </row>
    <row r="33" spans="14:16">
      <c r="N33" s="3">
        <v>10</v>
      </c>
      <c r="O33" s="166">
        <f t="shared" si="15"/>
        <v>4.0989889943948948E-2</v>
      </c>
      <c r="P33" s="159">
        <f t="shared" si="14"/>
        <v>0</v>
      </c>
    </row>
    <row r="34" spans="14:16">
      <c r="N34" s="3">
        <v>11</v>
      </c>
      <c r="O34" s="166">
        <f t="shared" si="15"/>
        <v>4.0989889943948948E-2</v>
      </c>
      <c r="P34" s="159">
        <f t="shared" si="14"/>
        <v>0</v>
      </c>
    </row>
    <row r="35" spans="14:16">
      <c r="N35" s="3">
        <v>12</v>
      </c>
      <c r="O35" s="166">
        <f t="shared" si="15"/>
        <v>4.0989889943948948E-2</v>
      </c>
      <c r="P35" s="159">
        <f t="shared" si="14"/>
        <v>0</v>
      </c>
    </row>
    <row r="36" spans="14:16">
      <c r="N36" s="3">
        <v>13</v>
      </c>
      <c r="O36" s="166">
        <f t="shared" si="15"/>
        <v>4.0989889943948948E-2</v>
      </c>
      <c r="P36" s="159">
        <f t="shared" si="14"/>
        <v>0</v>
      </c>
    </row>
    <row r="37" spans="14:16">
      <c r="N37" s="3">
        <v>14</v>
      </c>
      <c r="O37" s="166">
        <f t="shared" si="15"/>
        <v>4.0989889943948948E-2</v>
      </c>
      <c r="P37" s="159">
        <f t="shared" si="14"/>
        <v>0</v>
      </c>
    </row>
    <row r="38" spans="14:16">
      <c r="N38" s="3">
        <v>15</v>
      </c>
      <c r="O38" s="166">
        <f t="shared" si="15"/>
        <v>4.0989889943948948E-2</v>
      </c>
      <c r="P38" s="159">
        <f t="shared" si="14"/>
        <v>0</v>
      </c>
    </row>
  </sheetData>
  <phoneticPr fontId="0" type="noConversion"/>
  <printOptions gridLinesSet="0"/>
  <pageMargins left="0.78740157499999996" right="0.78740157499999996" top="0.984251969" bottom="0.984251969" header="0.51181102300000003" footer="0.51181102300000003"/>
  <pageSetup paperSize="9" orientation="portrait" horizontalDpi="4294967292" verticalDpi="4294967292" r:id="rId1"/>
  <headerFooter alignWithMargins="0">
    <oddHeader>&amp;C&amp;F          &amp;A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Line="0" autoPict="0" macro="[0]!Makro_für_Beispiel_1_1">
                <anchor moveWithCells="1" sizeWithCells="1">
                  <from>
                    <xdr:col>3</xdr:col>
                    <xdr:colOff>0</xdr:colOff>
                    <xdr:row>0</xdr:row>
                    <xdr:rowOff>0</xdr:rowOff>
                  </from>
                  <to>
                    <xdr:col>3</xdr:col>
                    <xdr:colOff>114300</xdr:colOff>
                    <xdr:row>0</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B3" sqref="B3"/>
    </sheetView>
  </sheetViews>
  <sheetFormatPr baseColWidth="10" defaultRowHeight="12.75"/>
  <cols>
    <col min="4" max="4" width="14.5703125" customWidth="1"/>
  </cols>
  <sheetData>
    <row r="1" spans="1:6">
      <c r="A1" s="8" t="s">
        <v>118</v>
      </c>
      <c r="B1" s="9"/>
      <c r="C1" s="9"/>
      <c r="D1" s="9"/>
      <c r="E1" s="9"/>
      <c r="F1" s="9"/>
    </row>
    <row r="2" spans="1:6" ht="25.5">
      <c r="A2" s="10" t="s">
        <v>26</v>
      </c>
      <c r="B2" s="10" t="s">
        <v>33</v>
      </c>
      <c r="C2" s="10" t="s">
        <v>28</v>
      </c>
      <c r="D2" s="10" t="s">
        <v>30</v>
      </c>
      <c r="E2" s="9"/>
      <c r="F2" s="9"/>
    </row>
    <row r="3" spans="1:6">
      <c r="A3" s="17">
        <v>200</v>
      </c>
      <c r="B3" s="21">
        <v>0.03</v>
      </c>
      <c r="C3" s="19">
        <v>2</v>
      </c>
      <c r="D3" s="11">
        <f>A3/(1-B3)^C3</f>
        <v>212.56244021681371</v>
      </c>
      <c r="E3" s="9"/>
      <c r="F3" s="9"/>
    </row>
    <row r="4" spans="1:6">
      <c r="A4" s="17">
        <v>200</v>
      </c>
      <c r="B4" s="21">
        <v>0.03</v>
      </c>
      <c r="C4" s="19">
        <v>3</v>
      </c>
      <c r="D4" s="11">
        <f>A4/(1-B4)^C4</f>
        <v>219.1365363059935</v>
      </c>
      <c r="E4" s="9"/>
      <c r="F4" s="9"/>
    </row>
    <row r="5" spans="1:6">
      <c r="A5" s="17">
        <v>200</v>
      </c>
      <c r="B5" s="21">
        <v>0.03</v>
      </c>
      <c r="C5" s="19">
        <v>4</v>
      </c>
      <c r="D5" s="11">
        <f>A5/(1-B5)^C5</f>
        <v>225.91395495463249</v>
      </c>
      <c r="E5" s="9"/>
      <c r="F5" s="9"/>
    </row>
    <row r="6" spans="1:6">
      <c r="A6" s="9"/>
      <c r="B6" s="9"/>
      <c r="C6" s="9"/>
      <c r="D6" s="9"/>
      <c r="E6" s="9"/>
      <c r="F6" s="9"/>
    </row>
    <row r="7" spans="1:6" ht="25.5">
      <c r="A7" s="10" t="s">
        <v>30</v>
      </c>
      <c r="B7" s="10" t="s">
        <v>33</v>
      </c>
      <c r="C7" s="10" t="s">
        <v>28</v>
      </c>
      <c r="D7" s="10" t="s">
        <v>26</v>
      </c>
      <c r="E7" s="9"/>
      <c r="F7" s="9"/>
    </row>
    <row r="8" spans="1:6">
      <c r="A8" s="17">
        <v>200</v>
      </c>
      <c r="B8" s="21">
        <v>0.03</v>
      </c>
      <c r="C8" s="19">
        <v>2</v>
      </c>
      <c r="D8" s="11">
        <f>A8*(1-B8)^C8</f>
        <v>188.17999999999998</v>
      </c>
      <c r="E8" s="9"/>
      <c r="F8" s="9"/>
    </row>
    <row r="9" spans="1:6">
      <c r="A9" s="17">
        <v>10000</v>
      </c>
      <c r="B9" s="21">
        <v>0.05</v>
      </c>
      <c r="C9" s="19">
        <f>10/360</f>
        <v>2.7777777777777776E-2</v>
      </c>
      <c r="D9" s="11">
        <f>A9*(1-B9)^C9</f>
        <v>9985.7620083218662</v>
      </c>
      <c r="E9" s="9"/>
      <c r="F9" s="9"/>
    </row>
    <row r="10" spans="1:6">
      <c r="A10" s="17">
        <v>1000</v>
      </c>
      <c r="B10" s="21">
        <v>0.05</v>
      </c>
      <c r="C10" s="19">
        <f>10/360</f>
        <v>2.7777777777777776E-2</v>
      </c>
      <c r="D10" s="11">
        <f>A10*(1-B10)^C10</f>
        <v>998.57620083218671</v>
      </c>
      <c r="E10" s="9"/>
      <c r="F10" s="9"/>
    </row>
    <row r="11" spans="1:6">
      <c r="A11" s="9"/>
      <c r="B11" s="9"/>
      <c r="C11" s="9"/>
      <c r="D11" s="9"/>
      <c r="E11" s="9"/>
      <c r="F11" s="9"/>
    </row>
    <row r="12" spans="1:6">
      <c r="A12" s="9"/>
      <c r="B12" s="9"/>
      <c r="C12" s="9"/>
      <c r="D12" s="9"/>
      <c r="E12" s="9"/>
      <c r="F12" s="9"/>
    </row>
    <row r="13" spans="1:6">
      <c r="A13" s="8" t="s">
        <v>119</v>
      </c>
      <c r="B13" s="9"/>
      <c r="C13" s="9"/>
      <c r="D13" s="9"/>
      <c r="E13" s="9"/>
      <c r="F13" s="9"/>
    </row>
    <row r="14" spans="1:6" ht="25.5">
      <c r="A14" s="10" t="s">
        <v>26</v>
      </c>
      <c r="B14" s="10" t="s">
        <v>33</v>
      </c>
      <c r="C14" s="10" t="s">
        <v>28</v>
      </c>
      <c r="D14" s="10" t="s">
        <v>30</v>
      </c>
      <c r="E14" s="9"/>
      <c r="F14" s="9"/>
    </row>
    <row r="15" spans="1:6">
      <c r="A15" s="17">
        <v>200</v>
      </c>
      <c r="B15" s="21">
        <v>0.03</v>
      </c>
      <c r="C15" s="19">
        <v>2</v>
      </c>
      <c r="D15" s="11">
        <f>A15/(1-B15*C15)</f>
        <v>212.76595744680853</v>
      </c>
      <c r="E15" s="9"/>
      <c r="F15" s="9"/>
    </row>
    <row r="16" spans="1:6">
      <c r="A16" s="17">
        <v>200</v>
      </c>
      <c r="B16" s="21">
        <v>0.03</v>
      </c>
      <c r="C16" s="19">
        <v>3</v>
      </c>
      <c r="D16" s="11">
        <f>A16/(1-B16*C16)</f>
        <v>219.78021978021977</v>
      </c>
      <c r="E16" s="9"/>
      <c r="F16" s="9"/>
    </row>
    <row r="17" spans="1:6">
      <c r="A17" s="17">
        <v>200</v>
      </c>
      <c r="B17" s="21">
        <v>0.03</v>
      </c>
      <c r="C17" s="19">
        <v>4</v>
      </c>
      <c r="D17" s="11">
        <f>A17/(1-B17*C17)</f>
        <v>227.27272727272728</v>
      </c>
      <c r="E17" s="9"/>
      <c r="F17" s="9"/>
    </row>
    <row r="18" spans="1:6">
      <c r="A18" s="9"/>
      <c r="B18" s="9"/>
      <c r="C18" s="9"/>
      <c r="D18" s="9"/>
      <c r="E18" s="9"/>
      <c r="F18" s="9"/>
    </row>
    <row r="19" spans="1:6" ht="25.5">
      <c r="A19" s="10" t="s">
        <v>30</v>
      </c>
      <c r="B19" s="10" t="s">
        <v>33</v>
      </c>
      <c r="C19" s="10" t="s">
        <v>28</v>
      </c>
      <c r="D19" s="10" t="s">
        <v>26</v>
      </c>
      <c r="E19" s="9"/>
      <c r="F19" s="9"/>
    </row>
    <row r="20" spans="1:6">
      <c r="A20" s="17">
        <v>200</v>
      </c>
      <c r="B20" s="21">
        <v>0.03</v>
      </c>
      <c r="C20" s="19">
        <v>2</v>
      </c>
      <c r="D20" s="11">
        <f>A20*(1-B20*C20)</f>
        <v>188</v>
      </c>
      <c r="E20" s="9"/>
      <c r="F20" s="9"/>
    </row>
    <row r="21" spans="1:6">
      <c r="A21" s="17">
        <v>1000</v>
      </c>
      <c r="B21" s="21">
        <v>4.9399999999999999E-2</v>
      </c>
      <c r="C21" s="19">
        <v>1</v>
      </c>
      <c r="D21" s="11">
        <f>A21*(1-B21*C21)</f>
        <v>950.6</v>
      </c>
      <c r="E21" s="9" t="s">
        <v>120</v>
      </c>
      <c r="F21" s="9"/>
    </row>
    <row r="22" spans="1:6">
      <c r="A22" s="17">
        <v>1000</v>
      </c>
      <c r="B22" s="21">
        <v>5.5800000000000002E-2</v>
      </c>
      <c r="C22" s="19">
        <v>2</v>
      </c>
      <c r="D22" s="11">
        <f>A22*(1-B22*C22)</f>
        <v>888.4</v>
      </c>
      <c r="E22" s="9" t="s">
        <v>120</v>
      </c>
      <c r="F22" s="9"/>
    </row>
    <row r="23" spans="1:6">
      <c r="A23" s="9"/>
      <c r="B23" s="9"/>
      <c r="C23" s="9"/>
      <c r="D23" s="9"/>
      <c r="E23" s="9"/>
      <c r="F23" s="9"/>
    </row>
  </sheetData>
  <phoneticPr fontId="0" type="noConversion"/>
  <pageMargins left="0.78740157499999996" right="0.78740157499999996" top="0.984251969" bottom="0.984251969" header="0.51181102300000003" footer="0.51181102300000003"/>
  <pageSetup paperSize="9" orientation="portrait" horizontalDpi="4294967292" verticalDpi="300" r:id="rId1"/>
  <headerFooter alignWithMargins="0">
    <oddHeader>&amp;C&amp;F      &amp;A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B5" sqref="B5"/>
    </sheetView>
  </sheetViews>
  <sheetFormatPr baseColWidth="10" defaultRowHeight="12.75"/>
  <cols>
    <col min="1" max="1" width="12.140625" customWidth="1"/>
    <col min="4" max="4" width="13.140625" customWidth="1"/>
  </cols>
  <sheetData>
    <row r="1" spans="1:5">
      <c r="A1" s="8" t="s">
        <v>310</v>
      </c>
      <c r="B1" s="9"/>
      <c r="C1" s="9"/>
      <c r="D1" s="9"/>
      <c r="E1" s="9"/>
    </row>
    <row r="2" spans="1:5">
      <c r="A2" s="8"/>
      <c r="B2" s="9"/>
      <c r="C2" s="9"/>
      <c r="D2" s="9"/>
      <c r="E2" s="9"/>
    </row>
    <row r="3" spans="1:5">
      <c r="A3" s="9"/>
      <c r="B3" s="9"/>
      <c r="C3" s="9"/>
      <c r="D3" s="46" t="s">
        <v>121</v>
      </c>
      <c r="E3" s="9"/>
    </row>
    <row r="4" spans="1:5" ht="25.5">
      <c r="A4" s="10" t="s">
        <v>122</v>
      </c>
      <c r="B4" s="10" t="s">
        <v>33</v>
      </c>
      <c r="C4" s="10" t="s">
        <v>123</v>
      </c>
      <c r="D4" s="51" t="s">
        <v>26</v>
      </c>
      <c r="E4" s="9"/>
    </row>
    <row r="5" spans="1:5">
      <c r="A5" s="17">
        <v>1000</v>
      </c>
      <c r="B5" s="21">
        <v>0.05</v>
      </c>
      <c r="C5" s="19">
        <v>10</v>
      </c>
      <c r="D5" s="11">
        <f>A5*(1-B5*C5/360)</f>
        <v>998.61111111111109</v>
      </c>
      <c r="E5" s="9"/>
    </row>
    <row r="6" spans="1:5">
      <c r="A6" s="17">
        <v>1000</v>
      </c>
      <c r="B6" s="21">
        <v>0.05</v>
      </c>
      <c r="C6" s="19">
        <v>20</v>
      </c>
      <c r="D6" s="11">
        <f>A6*(1-B6*C6/360)</f>
        <v>997.22222222222229</v>
      </c>
      <c r="E6" s="9"/>
    </row>
    <row r="7" spans="1:5">
      <c r="A7" s="17">
        <v>1000</v>
      </c>
      <c r="B7" s="21">
        <v>0.05</v>
      </c>
      <c r="C7" s="19">
        <v>360</v>
      </c>
      <c r="D7" s="11">
        <f>A7*(1-B7*C7/360)</f>
        <v>950</v>
      </c>
      <c r="E7" s="9"/>
    </row>
    <row r="8" spans="1:5">
      <c r="A8" s="9"/>
      <c r="B8" s="9"/>
      <c r="C8" s="9"/>
      <c r="D8" s="9"/>
      <c r="E8" s="9"/>
    </row>
  </sheetData>
  <phoneticPr fontId="0" type="noConversion"/>
  <pageMargins left="0.78740157499999996" right="0.78740157499999996" top="0.984251969" bottom="0.984251969" header="0.51181102300000003" footer="0.51181102300000003"/>
  <pageSetup paperSize="9" orientation="portrait" horizontalDpi="4294967292" verticalDpi="300" r:id="rId1"/>
  <headerFooter alignWithMargins="0">
    <oddHeader>&amp;C&amp;F      &amp;A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election activeCell="B5" sqref="B5"/>
    </sheetView>
  </sheetViews>
  <sheetFormatPr baseColWidth="10" defaultRowHeight="12.75"/>
  <cols>
    <col min="1" max="1" width="13.140625" customWidth="1"/>
    <col min="2" max="2" width="12.85546875" customWidth="1"/>
    <col min="4" max="4" width="17.5703125" customWidth="1"/>
  </cols>
  <sheetData>
    <row r="1" spans="1:7">
      <c r="A1" s="8" t="s">
        <v>318</v>
      </c>
      <c r="B1" s="9"/>
      <c r="C1" s="9"/>
      <c r="D1" s="9"/>
      <c r="E1" s="9"/>
      <c r="F1" s="9"/>
      <c r="G1" s="9"/>
    </row>
    <row r="2" spans="1:7">
      <c r="A2" s="243" t="s">
        <v>317</v>
      </c>
      <c r="B2" s="9"/>
      <c r="C2" s="9"/>
      <c r="D2" s="9"/>
      <c r="E2" s="9"/>
      <c r="F2" s="9"/>
      <c r="G2" s="9"/>
    </row>
    <row r="3" spans="1:7">
      <c r="A3" s="9" t="s">
        <v>316</v>
      </c>
      <c r="B3" s="9"/>
      <c r="C3" s="9"/>
      <c r="D3" s="9"/>
      <c r="E3" s="9"/>
      <c r="F3" s="9"/>
      <c r="G3" s="9"/>
    </row>
    <row r="4" spans="1:7">
      <c r="A4" s="9"/>
      <c r="B4" s="9"/>
      <c r="C4" s="9"/>
      <c r="D4" s="9"/>
      <c r="E4" s="9"/>
      <c r="F4" s="9"/>
      <c r="G4" s="9"/>
    </row>
    <row r="5" spans="1:7">
      <c r="A5" s="9" t="s">
        <v>125</v>
      </c>
      <c r="B5" s="59">
        <v>36556</v>
      </c>
      <c r="C5" s="9" t="s">
        <v>126</v>
      </c>
      <c r="D5" s="17">
        <v>2000</v>
      </c>
      <c r="E5" s="9" t="s">
        <v>127</v>
      </c>
      <c r="F5" s="9"/>
      <c r="G5" s="9"/>
    </row>
    <row r="6" spans="1:7">
      <c r="A6" s="9" t="s">
        <v>128</v>
      </c>
      <c r="B6" s="59">
        <v>38447</v>
      </c>
      <c r="C6" s="9"/>
      <c r="D6" s="9"/>
      <c r="E6" s="9"/>
      <c r="F6" s="9"/>
      <c r="G6" s="9"/>
    </row>
    <row r="7" spans="1:7">
      <c r="A7" s="9" t="s">
        <v>33</v>
      </c>
      <c r="B7" s="20">
        <v>0.03</v>
      </c>
      <c r="C7" s="9"/>
      <c r="D7" s="9"/>
      <c r="E7" s="9"/>
      <c r="F7" s="9"/>
      <c r="G7" s="9"/>
    </row>
    <row r="8" spans="1:7">
      <c r="A8" s="9"/>
      <c r="B8" s="54"/>
      <c r="C8" s="9"/>
      <c r="D8" s="9"/>
      <c r="E8" s="9"/>
      <c r="F8" s="9"/>
      <c r="G8" s="9"/>
    </row>
    <row r="9" spans="1:7">
      <c r="A9" s="9" t="s">
        <v>129</v>
      </c>
      <c r="B9" s="54"/>
      <c r="C9" s="9"/>
      <c r="D9" s="9"/>
      <c r="E9" s="9"/>
      <c r="F9" s="9"/>
      <c r="G9" s="9"/>
    </row>
    <row r="10" spans="1:7">
      <c r="A10" s="9"/>
      <c r="B10" s="9"/>
      <c r="C10" s="9"/>
      <c r="D10" s="55" t="s">
        <v>130</v>
      </c>
      <c r="E10" s="9"/>
      <c r="F10" s="9"/>
      <c r="G10" s="9"/>
    </row>
    <row r="11" spans="1:7">
      <c r="A11" s="31" t="s">
        <v>131</v>
      </c>
      <c r="B11" s="56">
        <f>YEAR(B5)</f>
        <v>2000</v>
      </c>
      <c r="C11" s="9">
        <f>IF(B11=B13,DAYS360(B5,B6),DAYS360(B5,"30.12."&amp;B11))</f>
        <v>330</v>
      </c>
      <c r="D11" s="57">
        <f>$D$5*(C11/360*$B$7+1)</f>
        <v>2055</v>
      </c>
      <c r="E11" s="9"/>
      <c r="F11" s="9"/>
      <c r="G11" s="9"/>
    </row>
    <row r="12" spans="1:7">
      <c r="A12" s="31"/>
      <c r="B12" s="31">
        <f>MAX(B13-B11-1,0)</f>
        <v>4</v>
      </c>
      <c r="C12" s="56" t="s">
        <v>132</v>
      </c>
      <c r="D12" s="57">
        <f>D11*(1+B7)^B12</f>
        <v>2312.92060455</v>
      </c>
      <c r="E12" s="9"/>
      <c r="F12" s="9"/>
      <c r="G12" s="9"/>
    </row>
    <row r="13" spans="1:7">
      <c r="A13" s="31" t="str">
        <f>IF(B11=B13,"","Tage in")</f>
        <v>Tage in</v>
      </c>
      <c r="B13" s="56">
        <f>YEAR(B6)</f>
        <v>2005</v>
      </c>
      <c r="C13" s="9">
        <f>IF(YEAR(B5)=YEAR(B6),0,360-DAYS360(B6,"30.12."&amp;B13))</f>
        <v>95</v>
      </c>
      <c r="D13" s="58">
        <f>D12*(C13/360*$B$7+1)</f>
        <v>2331.2312260026874</v>
      </c>
      <c r="E13" s="9"/>
      <c r="F13" s="9"/>
      <c r="G13" s="9"/>
    </row>
    <row r="14" spans="1:7">
      <c r="A14" s="9"/>
      <c r="B14" s="9"/>
      <c r="C14" s="9"/>
      <c r="D14" s="9"/>
      <c r="E14" s="9"/>
      <c r="F14" s="9"/>
      <c r="G14" s="9"/>
    </row>
  </sheetData>
  <phoneticPr fontId="0" type="noConversion"/>
  <printOptions gridLinesSet="0"/>
  <pageMargins left="0.78740157499999996" right="0.78740157499999996" top="0.984251969" bottom="0.984251969" header="0.51181102300000003" footer="0.51181102300000003"/>
  <pageSetup paperSize="9" orientation="portrait" horizontalDpi="4294967292" verticalDpi="4294967292" r:id="rId1"/>
  <headerFooter alignWithMargins="0">
    <oddHeader>&amp;C&amp;F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B3" sqref="B3"/>
    </sheetView>
  </sheetViews>
  <sheetFormatPr baseColWidth="10" defaultRowHeight="12.75"/>
  <cols>
    <col min="3" max="3" width="6" customWidth="1"/>
    <col min="4" max="4" width="4.28515625" customWidth="1"/>
    <col min="5" max="5" width="16" customWidth="1"/>
    <col min="7" max="7" width="6.140625" customWidth="1"/>
  </cols>
  <sheetData>
    <row r="1" spans="1:7">
      <c r="A1" s="2" t="s">
        <v>0</v>
      </c>
    </row>
    <row r="2" spans="1:7">
      <c r="A2" s="88"/>
      <c r="B2" s="89"/>
      <c r="C2" s="47"/>
      <c r="E2" s="88"/>
      <c r="F2" s="89"/>
      <c r="G2" s="47"/>
    </row>
    <row r="3" spans="1:7">
      <c r="A3" s="122" t="s">
        <v>1</v>
      </c>
      <c r="B3" s="26">
        <v>250</v>
      </c>
      <c r="C3" s="123"/>
      <c r="E3" s="122" t="s">
        <v>2</v>
      </c>
      <c r="F3" s="27">
        <v>39.4</v>
      </c>
      <c r="G3" s="123"/>
    </row>
    <row r="4" spans="1:7">
      <c r="A4" s="122" t="s">
        <v>3</v>
      </c>
      <c r="B4" s="26">
        <v>45</v>
      </c>
      <c r="C4" s="123"/>
      <c r="E4" s="122" t="s">
        <v>4</v>
      </c>
      <c r="F4" s="27">
        <v>38.5</v>
      </c>
      <c r="G4" s="123"/>
    </row>
    <row r="5" spans="1:7">
      <c r="A5" s="122"/>
      <c r="B5" s="15"/>
      <c r="C5" s="123"/>
      <c r="E5" s="122"/>
      <c r="F5" s="15"/>
      <c r="G5" s="123"/>
    </row>
    <row r="6" spans="1:7">
      <c r="A6" s="122" t="s">
        <v>5</v>
      </c>
      <c r="B6" s="15"/>
      <c r="C6" s="123"/>
      <c r="E6" s="122" t="s">
        <v>6</v>
      </c>
      <c r="F6" s="126">
        <f>(F4-F3)/F3</f>
        <v>-2.2842639593908594E-2</v>
      </c>
      <c r="G6" s="123"/>
    </row>
    <row r="7" spans="1:7">
      <c r="A7" s="61" t="s">
        <v>6</v>
      </c>
      <c r="B7" s="124">
        <f>B4/B3</f>
        <v>0.18</v>
      </c>
      <c r="C7" s="62"/>
      <c r="E7" s="61"/>
      <c r="F7" s="82"/>
      <c r="G7" s="62"/>
    </row>
    <row r="9" spans="1:7">
      <c r="A9" s="88"/>
      <c r="B9" s="89"/>
      <c r="C9" s="47"/>
    </row>
    <row r="10" spans="1:7">
      <c r="A10" s="122" t="s">
        <v>7</v>
      </c>
      <c r="B10" s="27">
        <v>89.25</v>
      </c>
      <c r="C10" s="123"/>
    </row>
    <row r="11" spans="1:7">
      <c r="A11" s="122" t="s">
        <v>6</v>
      </c>
      <c r="B11" s="25">
        <v>0.19</v>
      </c>
      <c r="C11" s="123"/>
    </row>
    <row r="12" spans="1:7">
      <c r="A12" s="122"/>
      <c r="B12" s="15"/>
      <c r="C12" s="123"/>
    </row>
    <row r="13" spans="1:7" ht="12" customHeight="1">
      <c r="A13" s="122" t="s">
        <v>5</v>
      </c>
      <c r="B13" s="15"/>
      <c r="C13" s="123"/>
      <c r="E13" s="87"/>
    </row>
    <row r="14" spans="1:7">
      <c r="A14" s="122" t="s">
        <v>1</v>
      </c>
      <c r="B14" s="125">
        <f>B10/(1+B11)</f>
        <v>75</v>
      </c>
      <c r="C14" s="123"/>
    </row>
    <row r="15" spans="1:7">
      <c r="A15" s="122" t="s">
        <v>3</v>
      </c>
      <c r="B15" s="125">
        <f>B10-B14</f>
        <v>14.25</v>
      </c>
      <c r="C15" s="123"/>
    </row>
    <row r="16" spans="1:7">
      <c r="A16" s="122"/>
      <c r="B16" s="15"/>
      <c r="C16" s="123"/>
    </row>
    <row r="17" spans="1:3">
      <c r="A17" s="122" t="s">
        <v>250</v>
      </c>
      <c r="B17" s="15"/>
      <c r="C17" s="123"/>
    </row>
    <row r="18" spans="1:3">
      <c r="A18" s="122" t="s">
        <v>248</v>
      </c>
      <c r="B18" s="236">
        <f>1-B14/B10</f>
        <v>0.15966386554621848</v>
      </c>
      <c r="C18" s="123" t="s">
        <v>249</v>
      </c>
    </row>
    <row r="19" spans="1:3">
      <c r="A19" s="122" t="s">
        <v>251</v>
      </c>
      <c r="B19" s="15"/>
      <c r="C19" s="123"/>
    </row>
    <row r="20" spans="1:3">
      <c r="A20" s="61"/>
      <c r="B20" s="82"/>
      <c r="C20" s="62"/>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oddHeader>&amp;A</oddHeader>
    <oddFooter>Seite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election activeCell="B4" sqref="B4"/>
    </sheetView>
  </sheetViews>
  <sheetFormatPr baseColWidth="10" defaultRowHeight="12.75"/>
  <cols>
    <col min="1" max="1" width="13.140625" customWidth="1"/>
    <col min="2" max="2" width="12.85546875" customWidth="1"/>
    <col min="4" max="4" width="14.28515625" customWidth="1"/>
  </cols>
  <sheetData>
    <row r="1" spans="1:6">
      <c r="A1" s="8" t="s">
        <v>124</v>
      </c>
      <c r="B1" s="9"/>
      <c r="C1" s="9"/>
      <c r="D1" s="9"/>
      <c r="E1" s="9"/>
      <c r="F1" s="9"/>
    </row>
    <row r="2" spans="1:6">
      <c r="A2" s="8"/>
      <c r="B2" s="9"/>
      <c r="C2" s="9"/>
      <c r="D2" s="9"/>
      <c r="E2" s="9"/>
      <c r="F2" s="9"/>
    </row>
    <row r="3" spans="1:6">
      <c r="A3" s="9"/>
      <c r="B3" s="9"/>
      <c r="C3" s="9"/>
      <c r="D3" s="9"/>
      <c r="E3" s="9"/>
      <c r="F3" s="9"/>
    </row>
    <row r="4" spans="1:6">
      <c r="A4" s="9" t="s">
        <v>125</v>
      </c>
      <c r="B4" s="59">
        <v>36616</v>
      </c>
      <c r="C4" s="9" t="s">
        <v>126</v>
      </c>
      <c r="D4" s="17">
        <v>500</v>
      </c>
      <c r="E4" s="9" t="s">
        <v>127</v>
      </c>
      <c r="F4" s="9"/>
    </row>
    <row r="5" spans="1:6">
      <c r="A5" s="9" t="s">
        <v>125</v>
      </c>
      <c r="B5" s="59">
        <v>37072</v>
      </c>
      <c r="C5" s="9" t="s">
        <v>126</v>
      </c>
      <c r="D5" s="17">
        <v>-200</v>
      </c>
      <c r="E5" s="9"/>
      <c r="F5" s="9"/>
    </row>
    <row r="6" spans="1:6">
      <c r="A6" s="9" t="s">
        <v>125</v>
      </c>
      <c r="B6" s="59">
        <v>37286</v>
      </c>
      <c r="C6" s="9" t="s">
        <v>126</v>
      </c>
      <c r="D6" s="17">
        <v>-100</v>
      </c>
      <c r="E6" s="9"/>
      <c r="F6" s="9"/>
    </row>
    <row r="7" spans="1:6">
      <c r="A7" s="9" t="s">
        <v>128</v>
      </c>
      <c r="B7" s="59">
        <v>38168</v>
      </c>
      <c r="C7" s="9"/>
      <c r="D7" s="9"/>
      <c r="E7" s="9"/>
      <c r="F7" s="9"/>
    </row>
    <row r="8" spans="1:6">
      <c r="A8" s="9" t="s">
        <v>33</v>
      </c>
      <c r="B8" s="20">
        <v>0.03</v>
      </c>
      <c r="C8" s="9"/>
      <c r="D8" s="9"/>
      <c r="E8" s="9"/>
      <c r="F8" s="9"/>
    </row>
    <row r="9" spans="1:6">
      <c r="A9" s="9"/>
      <c r="B9" s="54"/>
      <c r="C9" s="9"/>
      <c r="D9" s="9"/>
      <c r="E9" s="9"/>
      <c r="F9" s="9"/>
    </row>
    <row r="10" spans="1:6">
      <c r="A10" s="9" t="s">
        <v>129</v>
      </c>
      <c r="B10" s="54"/>
      <c r="C10" s="9" t="s">
        <v>30</v>
      </c>
      <c r="D10" s="58">
        <f>D15+D19+D23</f>
        <v>241.02340093124994</v>
      </c>
      <c r="E10" s="9"/>
      <c r="F10" s="9"/>
    </row>
    <row r="11" spans="1:6">
      <c r="A11" s="9"/>
      <c r="B11" s="54"/>
      <c r="C11" s="9"/>
      <c r="D11" s="58"/>
      <c r="E11" s="9"/>
      <c r="F11" s="9"/>
    </row>
    <row r="12" spans="1:6">
      <c r="A12" s="88" t="s">
        <v>133</v>
      </c>
      <c r="B12" s="89"/>
      <c r="C12" s="89"/>
      <c r="D12" s="90" t="s">
        <v>130</v>
      </c>
      <c r="E12" s="9"/>
      <c r="F12" s="9"/>
    </row>
    <row r="13" spans="1:6">
      <c r="A13" s="91" t="s">
        <v>131</v>
      </c>
      <c r="B13" s="92">
        <f>YEAR(B4)</f>
        <v>2000</v>
      </c>
      <c r="C13" s="15">
        <f>IF(B13=B15,DAYS360(B4,B7),DAYS360(B4,"30.12."&amp;B13))</f>
        <v>270</v>
      </c>
      <c r="D13" s="93">
        <f>$D$4*(C13/360*$B$8+1)</f>
        <v>511.25</v>
      </c>
      <c r="E13" s="9"/>
      <c r="F13" s="9"/>
    </row>
    <row r="14" spans="1:6">
      <c r="A14" s="91"/>
      <c r="B14" s="94">
        <f>MAX(B15-B13-1,0)</f>
        <v>3</v>
      </c>
      <c r="C14" s="92" t="s">
        <v>132</v>
      </c>
      <c r="D14" s="93">
        <f>D13*(1+$B$8)^B14</f>
        <v>558.65667874999997</v>
      </c>
      <c r="E14" s="9"/>
      <c r="F14" s="9"/>
    </row>
    <row r="15" spans="1:6">
      <c r="A15" s="95" t="str">
        <f>IF(B13=B15,"","Tage in")</f>
        <v>Tage in</v>
      </c>
      <c r="B15" s="96">
        <f>YEAR($B$7)</f>
        <v>2004</v>
      </c>
      <c r="C15" s="82">
        <f>IF(YEAR(B4)=YEAR(B7),0,360-DAYS360(B7,"30.12."&amp;B15))</f>
        <v>180</v>
      </c>
      <c r="D15" s="97">
        <f>D14*(C15/360*$B$8+1)</f>
        <v>567.0365289312499</v>
      </c>
      <c r="E15" s="9"/>
      <c r="F15" s="9"/>
    </row>
    <row r="16" spans="1:6">
      <c r="A16" s="88" t="s">
        <v>134</v>
      </c>
      <c r="B16" s="89"/>
      <c r="C16" s="89"/>
      <c r="D16" s="90" t="s">
        <v>130</v>
      </c>
      <c r="E16" s="9"/>
      <c r="F16" s="9"/>
    </row>
    <row r="17" spans="1:6">
      <c r="A17" s="91" t="s">
        <v>131</v>
      </c>
      <c r="B17" s="92">
        <f>YEAR(B5)</f>
        <v>2001</v>
      </c>
      <c r="C17" s="15">
        <f>IF(B17=B19,DAYS360(B5,B7),DAYS360(B5,"30.12."&amp;B17))</f>
        <v>180</v>
      </c>
      <c r="D17" s="93">
        <f>$D$5*(C17/360*$B$8+1)</f>
        <v>-202.99999999999997</v>
      </c>
      <c r="E17" s="9"/>
      <c r="F17" s="9"/>
    </row>
    <row r="18" spans="1:6">
      <c r="A18" s="91"/>
      <c r="B18" s="94">
        <f>MAX(B19-B17-1,0)</f>
        <v>2</v>
      </c>
      <c r="C18" s="92" t="s">
        <v>132</v>
      </c>
      <c r="D18" s="93">
        <f>D17*(1+$B$8)^B18</f>
        <v>-215.36269999999996</v>
      </c>
      <c r="E18" s="9"/>
      <c r="F18" s="9"/>
    </row>
    <row r="19" spans="1:6">
      <c r="A19" s="95" t="str">
        <f>IF(B17=B19,"","Tage in")</f>
        <v>Tage in</v>
      </c>
      <c r="B19" s="96">
        <f>YEAR($B$7)</f>
        <v>2004</v>
      </c>
      <c r="C19" s="82">
        <f>IF(YEAR(B5)=YEAR(B7),0,360-DAYS360(B7,"30.12."&amp;B19))</f>
        <v>180</v>
      </c>
      <c r="D19" s="97">
        <f>D18*(C19/360*$B$8+1)</f>
        <v>-218.59314049999995</v>
      </c>
      <c r="E19" s="9"/>
      <c r="F19" s="9"/>
    </row>
    <row r="20" spans="1:6">
      <c r="A20" s="88" t="s">
        <v>135</v>
      </c>
      <c r="B20" s="89"/>
      <c r="C20" s="89"/>
      <c r="D20" s="90" t="s">
        <v>130</v>
      </c>
      <c r="E20" s="9"/>
      <c r="F20" s="9"/>
    </row>
    <row r="21" spans="1:6">
      <c r="A21" s="91" t="s">
        <v>131</v>
      </c>
      <c r="B21" s="92">
        <f>YEAR(B6)</f>
        <v>2002</v>
      </c>
      <c r="C21" s="15">
        <f>IF(B21=B23,DAYS360(B6,B7),DAYS360(B6,"30.12."&amp;B21))</f>
        <v>330</v>
      </c>
      <c r="D21" s="93">
        <f>$D$6*(C21/360*$B$8+1)</f>
        <v>-102.75000000000001</v>
      </c>
      <c r="E21" s="9"/>
      <c r="F21" s="9"/>
    </row>
    <row r="22" spans="1:6">
      <c r="A22" s="91"/>
      <c r="B22" s="94">
        <f>MAX(B23-B21-1,0)</f>
        <v>1</v>
      </c>
      <c r="C22" s="92" t="s">
        <v>132</v>
      </c>
      <c r="D22" s="93">
        <f>D21*(1+$B$8)^B22</f>
        <v>-105.83250000000002</v>
      </c>
      <c r="E22" s="9"/>
      <c r="F22" s="9"/>
    </row>
    <row r="23" spans="1:6">
      <c r="A23" s="95" t="str">
        <f>IF(B21=B23,"","Tage in")</f>
        <v>Tage in</v>
      </c>
      <c r="B23" s="96">
        <f>YEAR($B$7)</f>
        <v>2004</v>
      </c>
      <c r="C23" s="82">
        <f>IF(YEAR(B6)=YEAR($B$7),0,360-DAYS360($B$7,"30.12."&amp;B23))</f>
        <v>180</v>
      </c>
      <c r="D23" s="97">
        <f>D22*(C23/360*$B$8+1)</f>
        <v>-107.41998750000002</v>
      </c>
      <c r="E23" s="9"/>
      <c r="F23" s="9"/>
    </row>
    <row r="24" spans="1:6">
      <c r="A24" s="9" t="s">
        <v>136</v>
      </c>
      <c r="B24" s="54"/>
      <c r="C24" s="9"/>
      <c r="D24" s="9"/>
      <c r="E24" s="9"/>
      <c r="F24" s="9"/>
    </row>
    <row r="25" spans="1:6">
      <c r="A25" s="9"/>
      <c r="B25" s="9"/>
      <c r="C25" s="9"/>
      <c r="D25" s="9"/>
      <c r="E25" s="9"/>
      <c r="F25" s="9"/>
    </row>
  </sheetData>
  <phoneticPr fontId="0" type="noConversion"/>
  <printOptions gridLinesSet="0"/>
  <pageMargins left="0.78740157499999996" right="0.78740157499999996" top="0.984251969" bottom="0.984251969" header="0.51181102300000003" footer="0.51181102300000003"/>
  <pageSetup paperSize="9" orientation="portrait" horizontalDpi="4294967292" verticalDpi="4294967292" r:id="rId1"/>
  <headerFooter alignWithMargins="0">
    <oddHeader>&amp;C&amp;F      &amp;A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election activeCell="B6" sqref="B6"/>
    </sheetView>
  </sheetViews>
  <sheetFormatPr baseColWidth="10" defaultRowHeight="12.75"/>
  <cols>
    <col min="1" max="1" width="13.140625" customWidth="1"/>
    <col min="2" max="2" width="11.85546875" customWidth="1"/>
    <col min="4" max="4" width="17.5703125" customWidth="1"/>
  </cols>
  <sheetData>
    <row r="1" spans="1:7" ht="19.5" customHeight="1">
      <c r="A1" s="313" t="s">
        <v>305</v>
      </c>
      <c r="B1" s="314"/>
      <c r="C1" s="314"/>
      <c r="D1" s="314"/>
      <c r="E1" s="314"/>
      <c r="F1" s="315"/>
      <c r="G1" s="9"/>
    </row>
    <row r="2" spans="1:7" ht="12.75" customHeight="1">
      <c r="A2" s="272"/>
      <c r="B2" s="272"/>
      <c r="C2" s="272"/>
      <c r="D2" s="272"/>
      <c r="E2" s="272"/>
      <c r="F2" s="272"/>
      <c r="G2" s="9"/>
    </row>
    <row r="3" spans="1:7">
      <c r="A3" s="243" t="s">
        <v>314</v>
      </c>
      <c r="B3" s="9"/>
      <c r="C3" s="9"/>
      <c r="D3" s="9"/>
      <c r="E3" s="9"/>
      <c r="F3" s="9"/>
      <c r="G3" s="9"/>
    </row>
    <row r="4" spans="1:7">
      <c r="A4" s="9" t="s">
        <v>315</v>
      </c>
      <c r="B4" s="9"/>
      <c r="C4" s="9"/>
      <c r="D4" s="9"/>
      <c r="E4" s="9"/>
      <c r="F4" s="9"/>
      <c r="G4" s="9"/>
    </row>
    <row r="5" spans="1:7">
      <c r="A5" s="9"/>
      <c r="B5" s="9"/>
      <c r="C5" s="9"/>
      <c r="D5" s="9"/>
      <c r="E5" s="9"/>
      <c r="F5" s="9"/>
      <c r="G5" s="9"/>
    </row>
    <row r="6" spans="1:7">
      <c r="A6" s="9" t="s">
        <v>125</v>
      </c>
      <c r="B6" s="271">
        <v>41821</v>
      </c>
      <c r="C6" s="9" t="s">
        <v>126</v>
      </c>
      <c r="D6" s="17">
        <v>2000</v>
      </c>
      <c r="E6" s="9" t="s">
        <v>313</v>
      </c>
      <c r="F6" s="9"/>
      <c r="G6" s="9"/>
    </row>
    <row r="7" spans="1:7">
      <c r="A7" s="9" t="s">
        <v>128</v>
      </c>
      <c r="B7" s="271">
        <v>42186</v>
      </c>
      <c r="C7" s="9"/>
      <c r="D7" s="9"/>
      <c r="E7" s="9"/>
      <c r="F7" s="9"/>
      <c r="G7" s="9"/>
    </row>
    <row r="8" spans="1:7">
      <c r="A8" s="9" t="s">
        <v>33</v>
      </c>
      <c r="B8" s="20">
        <v>0.1</v>
      </c>
      <c r="C8" s="9"/>
      <c r="D8" s="9"/>
      <c r="E8" s="9"/>
      <c r="F8" s="9"/>
      <c r="G8" s="9"/>
    </row>
    <row r="9" spans="1:7">
      <c r="A9" s="9"/>
      <c r="B9" s="54"/>
      <c r="C9" s="9"/>
      <c r="D9" s="9"/>
      <c r="E9" s="9"/>
      <c r="F9" s="9"/>
      <c r="G9" s="9"/>
    </row>
    <row r="10" spans="1:7">
      <c r="A10" s="9"/>
      <c r="B10" s="54"/>
      <c r="C10" s="9"/>
      <c r="D10" s="9"/>
      <c r="E10" s="9"/>
      <c r="F10" s="9"/>
      <c r="G10" s="9"/>
    </row>
    <row r="11" spans="1:7">
      <c r="A11" s="8" t="s">
        <v>129</v>
      </c>
      <c r="B11" s="54"/>
      <c r="C11" s="9"/>
      <c r="D11" s="9"/>
      <c r="E11" s="9"/>
      <c r="F11" s="9"/>
      <c r="G11" s="9"/>
    </row>
    <row r="12" spans="1:7">
      <c r="A12" s="9"/>
      <c r="B12" s="9"/>
      <c r="C12" s="9"/>
      <c r="D12" s="55" t="s">
        <v>130</v>
      </c>
      <c r="E12" s="9"/>
      <c r="F12" s="9"/>
      <c r="G12" s="9"/>
    </row>
    <row r="13" spans="1:7">
      <c r="A13" s="31" t="s">
        <v>131</v>
      </c>
      <c r="B13" s="56">
        <f>YEAR(B6)</f>
        <v>2014</v>
      </c>
      <c r="C13" s="9">
        <f>IF(B13=B15,DAYS360(B6,B7),DAYS360(B6,"30.12."&amp;B13)+1)</f>
        <v>180</v>
      </c>
      <c r="D13" s="58">
        <f>$D$6*(C13/360*$B$8+1)</f>
        <v>2100</v>
      </c>
      <c r="E13" s="9"/>
      <c r="F13" s="9"/>
      <c r="G13" s="9"/>
    </row>
    <row r="14" spans="1:7">
      <c r="A14" s="31"/>
      <c r="B14" s="31">
        <f>MAX(B15-B13-1,0)</f>
        <v>0</v>
      </c>
      <c r="C14" s="56" t="s">
        <v>132</v>
      </c>
      <c r="D14" s="58">
        <f>D13*(1+B8)^B14</f>
        <v>2100</v>
      </c>
      <c r="E14" s="9"/>
      <c r="F14" s="9"/>
      <c r="G14" s="9"/>
    </row>
    <row r="15" spans="1:7">
      <c r="A15" s="31" t="str">
        <f>IF(B13=B15,"","Tage in")</f>
        <v>Tage in</v>
      </c>
      <c r="B15" s="56">
        <f>YEAR(B7)</f>
        <v>2015</v>
      </c>
      <c r="C15" s="9">
        <f>IF(YEAR(B6)=YEAR(B7),0,359-DAYS360(B7,"30.12."&amp;B15))</f>
        <v>180</v>
      </c>
      <c r="D15" s="58">
        <f>D14*(C15/360*$B$8+1)</f>
        <v>2205</v>
      </c>
      <c r="E15" s="9"/>
      <c r="F15" s="9"/>
      <c r="G15" s="9"/>
    </row>
    <row r="16" spans="1:7">
      <c r="A16" s="9"/>
      <c r="B16" s="9"/>
      <c r="C16" s="9"/>
      <c r="D16" s="9"/>
      <c r="E16" s="9"/>
      <c r="F16" s="9"/>
      <c r="G16" s="9"/>
    </row>
  </sheetData>
  <mergeCells count="1">
    <mergeCell ref="A1:F1"/>
  </mergeCells>
  <phoneticPr fontId="0" type="noConversion"/>
  <printOptions gridLinesSet="0"/>
  <pageMargins left="0.78740157499999996" right="0.78740157499999996" top="0.984251969" bottom="0.984251969" header="0.51181102300000003" footer="0.51181102300000003"/>
  <pageSetup paperSize="9" orientation="portrait" horizontalDpi="4294967292" verticalDpi="4294967292" r:id="rId1"/>
  <headerFooter alignWithMargins="0">
    <oddHeader>&amp;C&amp;F      &amp;A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election activeCell="D3" sqref="D3"/>
    </sheetView>
  </sheetViews>
  <sheetFormatPr baseColWidth="10" defaultRowHeight="12.75"/>
  <cols>
    <col min="1" max="1" width="13.140625" customWidth="1"/>
    <col min="2" max="2" width="12.85546875" customWidth="1"/>
    <col min="4" max="4" width="14.28515625" customWidth="1"/>
  </cols>
  <sheetData>
    <row r="1" spans="1:6">
      <c r="A1" s="8" t="s">
        <v>305</v>
      </c>
      <c r="B1" s="9"/>
      <c r="C1" s="9"/>
      <c r="D1" s="9"/>
      <c r="E1" s="9"/>
      <c r="F1" s="9"/>
    </row>
    <row r="2" spans="1:6">
      <c r="A2" s="8" t="s">
        <v>304</v>
      </c>
      <c r="B2" s="9"/>
      <c r="C2" s="9"/>
      <c r="D2" s="9"/>
      <c r="E2" s="9"/>
      <c r="F2" s="9"/>
    </row>
    <row r="3" spans="1:6">
      <c r="A3" s="9" t="s">
        <v>125</v>
      </c>
      <c r="B3" s="59">
        <v>38503</v>
      </c>
      <c r="C3" s="9" t="s">
        <v>126</v>
      </c>
      <c r="D3" s="17">
        <v>500</v>
      </c>
      <c r="E3" s="9"/>
      <c r="F3" s="9"/>
    </row>
    <row r="4" spans="1:6">
      <c r="A4" s="9" t="s">
        <v>125</v>
      </c>
      <c r="B4" s="59">
        <v>38594</v>
      </c>
      <c r="C4" s="9" t="s">
        <v>126</v>
      </c>
      <c r="D4" s="17">
        <v>-100</v>
      </c>
      <c r="E4" s="9"/>
      <c r="F4" s="9"/>
    </row>
    <row r="5" spans="1:6">
      <c r="A5" s="9" t="s">
        <v>125</v>
      </c>
      <c r="B5" s="59"/>
      <c r="C5" s="9" t="s">
        <v>126</v>
      </c>
      <c r="D5" s="17">
        <v>0</v>
      </c>
      <c r="E5" s="9"/>
      <c r="F5" s="9"/>
    </row>
    <row r="6" spans="1:6">
      <c r="A6" s="9" t="s">
        <v>128</v>
      </c>
      <c r="B6" s="59">
        <v>39813</v>
      </c>
      <c r="C6" s="9"/>
      <c r="D6" s="9"/>
      <c r="E6" s="9"/>
      <c r="F6" s="9"/>
    </row>
    <row r="7" spans="1:6">
      <c r="A7" s="9" t="s">
        <v>33</v>
      </c>
      <c r="B7" s="20">
        <v>0.03</v>
      </c>
      <c r="C7" s="9"/>
      <c r="D7" s="9"/>
      <c r="E7" s="9"/>
      <c r="F7" s="9"/>
    </row>
    <row r="8" spans="1:6">
      <c r="A8" s="9"/>
      <c r="B8" s="54"/>
      <c r="C8" s="9"/>
      <c r="D8" s="9"/>
      <c r="E8" s="9"/>
      <c r="F8" s="9"/>
    </row>
    <row r="9" spans="1:6">
      <c r="A9" s="8" t="s">
        <v>129</v>
      </c>
      <c r="B9" s="54"/>
      <c r="C9" s="9" t="s">
        <v>30</v>
      </c>
      <c r="D9" s="58">
        <f>D14+D18+D22</f>
        <v>445.55943425000004</v>
      </c>
      <c r="E9" s="9"/>
      <c r="F9" s="9"/>
    </row>
    <row r="10" spans="1:6">
      <c r="A10" s="9"/>
      <c r="B10" s="54"/>
      <c r="C10" s="9"/>
      <c r="D10" s="58"/>
      <c r="E10" s="9"/>
      <c r="F10" s="9"/>
    </row>
    <row r="11" spans="1:6">
      <c r="A11" s="88" t="s">
        <v>133</v>
      </c>
      <c r="B11" s="89"/>
      <c r="C11" s="89"/>
      <c r="D11" s="90" t="s">
        <v>130</v>
      </c>
      <c r="E11" s="9"/>
      <c r="F11" s="9"/>
    </row>
    <row r="12" spans="1:6">
      <c r="A12" s="91" t="s">
        <v>131</v>
      </c>
      <c r="B12" s="92">
        <f>YEAR(B3)</f>
        <v>2005</v>
      </c>
      <c r="C12" s="15">
        <f>IF(B12=B14,DAYS360(B3,B6),DAYS360(B3,"30.12."&amp;B12))</f>
        <v>210</v>
      </c>
      <c r="D12" s="93">
        <f>$D$3*(C12/360*$B$7+1)</f>
        <v>508.75000000000006</v>
      </c>
      <c r="E12" s="9"/>
      <c r="F12" s="9"/>
    </row>
    <row r="13" spans="1:6">
      <c r="A13" s="91"/>
      <c r="B13" s="94">
        <f>MAX(B14-B12-1,0)</f>
        <v>2</v>
      </c>
      <c r="C13" s="92" t="s">
        <v>132</v>
      </c>
      <c r="D13" s="93">
        <f>D12*(1+$B$7)^B13</f>
        <v>539.73287500000004</v>
      </c>
      <c r="E13" s="9"/>
      <c r="F13" s="9"/>
    </row>
    <row r="14" spans="1:6">
      <c r="A14" s="95" t="str">
        <f>IF(B12=B14,"","Tage in")</f>
        <v>Tage in</v>
      </c>
      <c r="B14" s="96">
        <f>YEAR($B$6)</f>
        <v>2008</v>
      </c>
      <c r="C14" s="82">
        <f>IF(YEAR(B3)=YEAR(B6),0,360-DAYS360(B6,"30.12."&amp;B14))</f>
        <v>360</v>
      </c>
      <c r="D14" s="97">
        <f>D13*(C14/360*$B$7+1)</f>
        <v>555.92486125000005</v>
      </c>
      <c r="E14" s="9"/>
      <c r="F14" s="9"/>
    </row>
    <row r="15" spans="1:6">
      <c r="A15" s="88" t="s">
        <v>134</v>
      </c>
      <c r="B15" s="89"/>
      <c r="C15" s="89"/>
      <c r="D15" s="90" t="s">
        <v>130</v>
      </c>
      <c r="E15" s="9"/>
      <c r="F15" s="9"/>
    </row>
    <row r="16" spans="1:6">
      <c r="A16" s="91" t="s">
        <v>131</v>
      </c>
      <c r="B16" s="92">
        <f>YEAR(B4)</f>
        <v>2005</v>
      </c>
      <c r="C16" s="15">
        <f>IF(B16=B18,DAYS360(B4,B6),DAYS360(B4,"30.12."&amp;B16))</f>
        <v>120</v>
      </c>
      <c r="D16" s="93">
        <f>$D$4*(C16/360*$B$7+1)</f>
        <v>-101</v>
      </c>
      <c r="E16" s="9"/>
      <c r="F16" s="9"/>
    </row>
    <row r="17" spans="1:6">
      <c r="A17" s="91"/>
      <c r="B17" s="94">
        <f>MAX(B18-B16-1,0)</f>
        <v>2</v>
      </c>
      <c r="C17" s="92" t="s">
        <v>132</v>
      </c>
      <c r="D17" s="93">
        <f>D16*(1+$B$7)^B17</f>
        <v>-107.15089999999999</v>
      </c>
      <c r="E17" s="9"/>
      <c r="F17" s="9"/>
    </row>
    <row r="18" spans="1:6">
      <c r="A18" s="95" t="str">
        <f>IF(B16=B18,"","Tage in")</f>
        <v>Tage in</v>
      </c>
      <c r="B18" s="96">
        <f>YEAR($B$6)</f>
        <v>2008</v>
      </c>
      <c r="C18" s="82">
        <f>IF(YEAR(B4)=YEAR(B6),0,360-DAYS360(B6,"30.12."&amp;B18))</f>
        <v>360</v>
      </c>
      <c r="D18" s="97">
        <f>D17*(C18/360*$B$7+1)</f>
        <v>-110.365427</v>
      </c>
      <c r="E18" s="9"/>
      <c r="F18" s="9"/>
    </row>
    <row r="19" spans="1:6">
      <c r="A19" s="88" t="s">
        <v>135</v>
      </c>
      <c r="B19" s="89"/>
      <c r="C19" s="89"/>
      <c r="D19" s="90" t="s">
        <v>130</v>
      </c>
      <c r="E19" s="9"/>
      <c r="F19" s="9"/>
    </row>
    <row r="20" spans="1:6">
      <c r="A20" s="91" t="s">
        <v>131</v>
      </c>
      <c r="B20" s="92">
        <f>YEAR(B5)</f>
        <v>1900</v>
      </c>
      <c r="C20" s="15">
        <f>IF(B20=B22,DAYS360(B5,B6),DAYS360(B5,"30.12."&amp;B20))</f>
        <v>360</v>
      </c>
      <c r="D20" s="93">
        <f>$D$5*(C20/360*$B$7+1)</f>
        <v>0</v>
      </c>
      <c r="E20" s="9"/>
      <c r="F20" s="9"/>
    </row>
    <row r="21" spans="1:6">
      <c r="A21" s="91"/>
      <c r="B21" s="94">
        <f>MAX(B22-B20-1,0)</f>
        <v>107</v>
      </c>
      <c r="C21" s="92" t="s">
        <v>132</v>
      </c>
      <c r="D21" s="93">
        <f>D20*(1+$B$7)^B21</f>
        <v>0</v>
      </c>
      <c r="E21" s="9"/>
      <c r="F21" s="9"/>
    </row>
    <row r="22" spans="1:6">
      <c r="A22" s="95" t="str">
        <f>IF(B20=B22,"","Tage in")</f>
        <v>Tage in</v>
      </c>
      <c r="B22" s="96">
        <f>YEAR($B$6)</f>
        <v>2008</v>
      </c>
      <c r="C22" s="82">
        <f>IF(YEAR(B5)=YEAR($B$6),0,360-DAYS360($B$6,"30.12."&amp;B22))</f>
        <v>360</v>
      </c>
      <c r="D22" s="97">
        <f>D21*(C22/360*$B$7+1)</f>
        <v>0</v>
      </c>
      <c r="E22" s="9"/>
      <c r="F22" s="9"/>
    </row>
    <row r="23" spans="1:6">
      <c r="A23" s="9" t="s">
        <v>136</v>
      </c>
      <c r="B23" s="54"/>
      <c r="C23" s="9"/>
      <c r="D23" s="9"/>
      <c r="E23" s="9"/>
      <c r="F23" s="9"/>
    </row>
    <row r="24" spans="1:6">
      <c r="A24" s="9"/>
      <c r="B24" s="9"/>
      <c r="C24" s="9"/>
      <c r="D24" s="9"/>
      <c r="E24" s="9"/>
      <c r="F24" s="9"/>
    </row>
    <row r="25" spans="1:6">
      <c r="A25" s="9" t="s">
        <v>299</v>
      </c>
      <c r="B25" s="9"/>
      <c r="C25" s="9"/>
      <c r="D25" s="9"/>
      <c r="E25" s="9"/>
      <c r="F25" s="9"/>
    </row>
    <row r="26" spans="1:6">
      <c r="A26" s="9" t="s">
        <v>302</v>
      </c>
      <c r="B26" s="9"/>
      <c r="C26" s="9"/>
      <c r="D26" s="9"/>
      <c r="E26" s="9"/>
      <c r="F26" s="9"/>
    </row>
    <row r="27" spans="1:6">
      <c r="A27" s="31" t="s">
        <v>300</v>
      </c>
      <c r="B27" s="56">
        <f>B18</f>
        <v>2008</v>
      </c>
      <c r="C27" s="9" t="s">
        <v>301</v>
      </c>
      <c r="D27" s="9"/>
      <c r="E27" s="9"/>
      <c r="F27" s="9"/>
    </row>
    <row r="28" spans="1:6">
      <c r="A28" s="9" t="s">
        <v>303</v>
      </c>
      <c r="B28" s="9"/>
      <c r="C28" s="9"/>
      <c r="D28" s="9"/>
      <c r="E28" s="9"/>
      <c r="F28" s="9"/>
    </row>
    <row r="29" spans="1:6">
      <c r="A29" s="9"/>
      <c r="B29" s="9"/>
      <c r="C29" s="9"/>
      <c r="D29" s="9"/>
      <c r="E29" s="9"/>
      <c r="F29" s="9"/>
    </row>
    <row r="30" spans="1:6">
      <c r="A30" s="9"/>
      <c r="B30" s="9"/>
      <c r="C30" s="9"/>
      <c r="D30" s="9"/>
      <c r="E30" s="9"/>
      <c r="F30" s="9"/>
    </row>
    <row r="31" spans="1:6">
      <c r="A31" s="9"/>
      <c r="B31" s="9"/>
      <c r="C31" s="9"/>
      <c r="D31" s="9"/>
      <c r="E31" s="9"/>
      <c r="F31" s="9"/>
    </row>
    <row r="32" spans="1:6">
      <c r="A32" s="9"/>
      <c r="B32" s="9"/>
      <c r="C32" s="9"/>
      <c r="D32" s="9"/>
      <c r="E32" s="9"/>
      <c r="F32" s="9"/>
    </row>
    <row r="33" spans="1:6">
      <c r="A33" s="9"/>
      <c r="B33" s="9"/>
      <c r="C33" s="9"/>
      <c r="D33" s="9"/>
      <c r="E33" s="9"/>
      <c r="F33" s="9"/>
    </row>
  </sheetData>
  <phoneticPr fontId="0" type="noConversion"/>
  <printOptions gridLinesSet="0"/>
  <pageMargins left="0.78740157499999996" right="0.78740157499999996" top="0.984251969" bottom="0.984251969" header="0.51181102300000003" footer="0.51181102300000003"/>
  <pageSetup paperSize="9" orientation="portrait" horizontalDpi="4294967292" verticalDpi="4294967292" r:id="rId1"/>
  <headerFooter alignWithMargins="0">
    <oddHeader>&amp;C&amp;F      &amp;A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3" sqref="B3"/>
    </sheetView>
  </sheetViews>
  <sheetFormatPr baseColWidth="10" defaultRowHeight="12.75"/>
  <cols>
    <col min="1" max="1" width="20.28515625" customWidth="1"/>
    <col min="2" max="2" width="17.140625" customWidth="1"/>
  </cols>
  <sheetData>
    <row r="1" spans="1:3">
      <c r="A1" s="8" t="s">
        <v>137</v>
      </c>
      <c r="B1" s="9"/>
      <c r="C1" s="9"/>
    </row>
    <row r="2" spans="1:3">
      <c r="A2" s="9"/>
      <c r="B2" s="9"/>
      <c r="C2" s="9"/>
    </row>
    <row r="3" spans="1:3">
      <c r="A3" s="31" t="s">
        <v>31</v>
      </c>
      <c r="B3" s="23">
        <v>500</v>
      </c>
      <c r="C3" s="9"/>
    </row>
    <row r="4" spans="1:3">
      <c r="A4" s="31" t="s">
        <v>138</v>
      </c>
      <c r="B4" s="28">
        <v>0.03</v>
      </c>
      <c r="C4" s="9" t="s">
        <v>37</v>
      </c>
    </row>
    <row r="5" spans="1:3">
      <c r="A5" s="31" t="s">
        <v>28</v>
      </c>
      <c r="B5" s="22">
        <v>10</v>
      </c>
      <c r="C5" s="9"/>
    </row>
    <row r="6" spans="1:3">
      <c r="A6" s="31" t="s">
        <v>139</v>
      </c>
      <c r="B6" s="22">
        <v>12</v>
      </c>
      <c r="C6" s="9"/>
    </row>
    <row r="7" spans="1:3">
      <c r="A7" s="9"/>
      <c r="B7" s="9"/>
      <c r="C7" s="9"/>
    </row>
    <row r="8" spans="1:3">
      <c r="A8" s="9" t="s">
        <v>44</v>
      </c>
      <c r="B8" s="9"/>
      <c r="C8" s="9"/>
    </row>
    <row r="9" spans="1:3">
      <c r="A9" s="31" t="s">
        <v>30</v>
      </c>
      <c r="B9" s="44">
        <f>$B$3*(1+$B$4/$B$6)^($B$5*$B$6)</f>
        <v>674.6767735954129</v>
      </c>
      <c r="C9" s="9"/>
    </row>
    <row r="10" spans="1:3">
      <c r="A10" s="31" t="s">
        <v>140</v>
      </c>
      <c r="B10" s="54">
        <f>((1+B4/B6)^B6-1)</f>
        <v>3.0415956913506736E-2</v>
      </c>
      <c r="C10" s="9"/>
    </row>
    <row r="11" spans="1:3">
      <c r="A11" s="31"/>
      <c r="B11" s="54"/>
      <c r="C11" s="9"/>
    </row>
    <row r="12" spans="1:3">
      <c r="A12" s="8" t="s">
        <v>289</v>
      </c>
      <c r="B12" s="9"/>
      <c r="C12" s="9"/>
    </row>
    <row r="13" spans="1:3">
      <c r="A13" s="31" t="s">
        <v>287</v>
      </c>
      <c r="B13" s="54">
        <f>B4</f>
        <v>0.03</v>
      </c>
      <c r="C13" s="9" t="s">
        <v>288</v>
      </c>
    </row>
    <row r="14" spans="1:3">
      <c r="A14" s="31" t="s">
        <v>141</v>
      </c>
      <c r="B14" s="44">
        <f>$B$3*(1+$B$4)^($B$5)</f>
        <v>671.95818967206094</v>
      </c>
      <c r="C14" s="9"/>
    </row>
    <row r="15" spans="1:3">
      <c r="A15" s="9"/>
      <c r="B15" s="9"/>
      <c r="C15" s="9"/>
    </row>
  </sheetData>
  <phoneticPr fontId="0" type="noConversion"/>
  <pageMargins left="0.78740157499999996" right="0.78740157499999996" top="0.984251969" bottom="0.984251969" header="0.51181102300000003" footer="0.51181102300000003"/>
  <pageSetup paperSize="9" orientation="portrait" horizontalDpi="4294967292" verticalDpi="300" r:id="rId1"/>
  <headerFooter alignWithMargins="0">
    <oddHeader>&amp;C&amp;F      &amp;A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B2" sqref="B2"/>
    </sheetView>
  </sheetViews>
  <sheetFormatPr baseColWidth="10" defaultRowHeight="12.75"/>
  <cols>
    <col min="1" max="1" width="13.140625" customWidth="1"/>
    <col min="2" max="2" width="15.28515625" customWidth="1"/>
    <col min="4" max="4" width="13" customWidth="1"/>
    <col min="5" max="5" width="1.7109375" customWidth="1"/>
  </cols>
  <sheetData>
    <row r="1" spans="1:7">
      <c r="A1" s="8" t="s">
        <v>137</v>
      </c>
      <c r="B1" s="9"/>
      <c r="C1" s="9"/>
      <c r="D1" s="9"/>
      <c r="E1" s="9"/>
      <c r="F1" s="9"/>
      <c r="G1" s="9"/>
    </row>
    <row r="2" spans="1:7">
      <c r="A2" s="49" t="s">
        <v>142</v>
      </c>
      <c r="B2" s="66">
        <v>1000</v>
      </c>
      <c r="C2" s="67"/>
      <c r="D2" s="67"/>
      <c r="E2" s="67"/>
      <c r="F2" s="67"/>
      <c r="G2" s="9"/>
    </row>
    <row r="3" spans="1:7">
      <c r="A3" s="9"/>
      <c r="B3" s="9"/>
      <c r="C3" s="9"/>
      <c r="D3" s="9"/>
      <c r="E3" s="9"/>
      <c r="F3" s="9"/>
      <c r="G3" s="9"/>
    </row>
    <row r="4" spans="1:7">
      <c r="A4" s="69" t="s">
        <v>32</v>
      </c>
      <c r="B4" s="47"/>
      <c r="C4" s="46"/>
      <c r="D4" s="47"/>
      <c r="E4" s="47"/>
      <c r="F4" s="47" t="s">
        <v>143</v>
      </c>
      <c r="G4" s="9"/>
    </row>
    <row r="5" spans="1:7">
      <c r="A5" s="48" t="s">
        <v>144</v>
      </c>
      <c r="B5" s="68" t="s">
        <v>145</v>
      </c>
      <c r="C5" s="63" t="s">
        <v>146</v>
      </c>
      <c r="D5" s="68" t="s">
        <v>309</v>
      </c>
      <c r="E5" s="68"/>
      <c r="F5" s="62" t="s">
        <v>147</v>
      </c>
      <c r="G5" s="9"/>
    </row>
    <row r="6" spans="1:7">
      <c r="A6" s="49">
        <v>1</v>
      </c>
      <c r="B6" s="20">
        <v>6.0000000000000001E-3</v>
      </c>
      <c r="C6" s="64">
        <f t="shared" ref="C6:C11" si="0">(1+B6*A6/12)^(12/A6)-1</f>
        <v>6.0165275309620458E-3</v>
      </c>
      <c r="D6" s="64">
        <f t="shared" ref="D6:D11" si="1">B6/12*A6</f>
        <v>5.0000000000000001E-4</v>
      </c>
      <c r="E6" s="64"/>
      <c r="F6" s="60">
        <f t="shared" ref="F6:F11" si="2">$B$2*(1+C6)</f>
        <v>1006.0165275309621</v>
      </c>
      <c r="G6" s="9"/>
    </row>
    <row r="7" spans="1:7">
      <c r="A7" s="49">
        <v>2</v>
      </c>
      <c r="B7" s="20">
        <v>8.0000000000000002E-3</v>
      </c>
      <c r="C7" s="64">
        <f t="shared" si="0"/>
        <v>8.0267141215075721E-3</v>
      </c>
      <c r="D7" s="64">
        <f t="shared" si="1"/>
        <v>1.3333333333333333E-3</v>
      </c>
      <c r="E7" s="64"/>
      <c r="F7" s="60">
        <f t="shared" si="2"/>
        <v>1008.0267141215076</v>
      </c>
      <c r="G7" s="9"/>
    </row>
    <row r="8" spans="1:7">
      <c r="A8" s="49">
        <v>3</v>
      </c>
      <c r="B8" s="20">
        <v>0.01</v>
      </c>
      <c r="C8" s="64">
        <f t="shared" si="0"/>
        <v>1.0037562539062295E-2</v>
      </c>
      <c r="D8" s="64">
        <f t="shared" si="1"/>
        <v>2.5000000000000001E-3</v>
      </c>
      <c r="E8" s="64"/>
      <c r="F8" s="60">
        <f t="shared" si="2"/>
        <v>1010.0375625390623</v>
      </c>
      <c r="G8" s="9"/>
    </row>
    <row r="9" spans="1:7">
      <c r="A9" s="49">
        <v>4</v>
      </c>
      <c r="B9" s="20">
        <v>1.2E-2</v>
      </c>
      <c r="C9" s="64">
        <f t="shared" si="0"/>
        <v>1.2048064000000025E-2</v>
      </c>
      <c r="D9" s="64">
        <f t="shared" si="1"/>
        <v>4.0000000000000001E-3</v>
      </c>
      <c r="E9" s="64"/>
      <c r="F9" s="60">
        <f t="shared" si="2"/>
        <v>1012.0480640000001</v>
      </c>
      <c r="G9" s="9"/>
    </row>
    <row r="10" spans="1:7">
      <c r="A10" s="49">
        <v>6</v>
      </c>
      <c r="B10" s="20">
        <v>1.4999999999999999E-2</v>
      </c>
      <c r="C10" s="64">
        <f t="shared" si="0"/>
        <v>1.5056250000000215E-2</v>
      </c>
      <c r="D10" s="64">
        <f t="shared" si="1"/>
        <v>7.4999999999999997E-3</v>
      </c>
      <c r="E10" s="64"/>
      <c r="F10" s="60">
        <f t="shared" si="2"/>
        <v>1015.0562500000002</v>
      </c>
      <c r="G10" s="9"/>
    </row>
    <row r="11" spans="1:7">
      <c r="A11" s="49">
        <v>12</v>
      </c>
      <c r="B11" s="20">
        <v>1.55E-2</v>
      </c>
      <c r="C11" s="64">
        <f t="shared" si="0"/>
        <v>1.5500000000000069E-2</v>
      </c>
      <c r="D11" s="64">
        <f t="shared" si="1"/>
        <v>1.55E-2</v>
      </c>
      <c r="E11" s="64"/>
      <c r="F11" s="60">
        <f t="shared" si="2"/>
        <v>1015.5000000000001</v>
      </c>
      <c r="G11" s="9"/>
    </row>
    <row r="12" spans="1:7">
      <c r="A12" s="9"/>
      <c r="B12" s="65"/>
      <c r="C12" s="65"/>
      <c r="D12" s="65"/>
      <c r="E12" s="65"/>
      <c r="F12" s="9"/>
      <c r="G12" s="9"/>
    </row>
    <row r="13" spans="1:7">
      <c r="A13" s="9"/>
      <c r="B13" s="65"/>
      <c r="C13" s="65"/>
      <c r="D13" s="65"/>
      <c r="E13" s="65"/>
      <c r="F13" s="9"/>
      <c r="G13" s="9"/>
    </row>
    <row r="14" spans="1:7">
      <c r="A14" s="8" t="s">
        <v>338</v>
      </c>
      <c r="B14" s="65"/>
      <c r="C14" s="65"/>
      <c r="D14" s="65"/>
      <c r="E14" s="65"/>
      <c r="F14" s="9"/>
      <c r="G14" s="9"/>
    </row>
    <row r="15" spans="1:7">
      <c r="A15" s="9" t="s">
        <v>339</v>
      </c>
      <c r="B15" s="65"/>
      <c r="C15" s="65"/>
      <c r="D15" s="65" t="s">
        <v>30</v>
      </c>
      <c r="E15" s="65"/>
      <c r="F15" s="109">
        <f>B2*(1+B11)</f>
        <v>1015.5000000000001</v>
      </c>
      <c r="G15" s="9"/>
    </row>
    <row r="16" spans="1:7">
      <c r="A16" s="9"/>
      <c r="B16" s="65"/>
      <c r="C16" s="65"/>
      <c r="D16" s="65"/>
      <c r="E16" s="65"/>
      <c r="F16" s="9"/>
      <c r="G16" s="9"/>
    </row>
    <row r="17" spans="1:7">
      <c r="A17" s="9" t="s">
        <v>340</v>
      </c>
      <c r="B17" s="65"/>
      <c r="C17" s="65"/>
      <c r="D17" s="65"/>
      <c r="E17" s="65"/>
      <c r="F17" s="9"/>
      <c r="G17" s="9"/>
    </row>
    <row r="18" spans="1:7">
      <c r="A18" s="9" t="s">
        <v>341</v>
      </c>
      <c r="B18" s="65"/>
      <c r="C18" s="293">
        <v>1.7000000000000001E-2</v>
      </c>
      <c r="D18" s="65" t="s">
        <v>342</v>
      </c>
      <c r="E18" s="65"/>
      <c r="F18" s="109">
        <f>B2*(1+B10/2)*(1+C18/2)</f>
        <v>1016.06375</v>
      </c>
      <c r="G18" s="9"/>
    </row>
    <row r="19" spans="1:7">
      <c r="A19" s="9"/>
      <c r="B19" s="65"/>
      <c r="C19" s="65"/>
      <c r="D19" s="65"/>
      <c r="E19" s="65"/>
      <c r="F19" s="9"/>
      <c r="G19" s="9"/>
    </row>
  </sheetData>
  <phoneticPr fontId="0" type="noConversion"/>
  <pageMargins left="0.78740157499999996" right="0.78740157499999996" top="0.984251969" bottom="0.984251969" header="0.51181102300000003" footer="0.51181102300000003"/>
  <pageSetup paperSize="9" orientation="portrait" horizontalDpi="4294967292" verticalDpi="300" r:id="rId1"/>
  <headerFooter alignWithMargins="0">
    <oddHeader>&amp;C&amp;F      &amp;A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B3" sqref="B3"/>
    </sheetView>
  </sheetViews>
  <sheetFormatPr baseColWidth="10" defaultRowHeight="12.75"/>
  <cols>
    <col min="1" max="1" width="24.140625" customWidth="1"/>
    <col min="2" max="2" width="14" customWidth="1"/>
  </cols>
  <sheetData>
    <row r="1" spans="1:3">
      <c r="A1" s="8" t="s">
        <v>148</v>
      </c>
      <c r="B1" s="9"/>
      <c r="C1" s="9"/>
    </row>
    <row r="2" spans="1:3">
      <c r="A2" s="9"/>
      <c r="B2" s="9"/>
      <c r="C2" s="9"/>
    </row>
    <row r="3" spans="1:3">
      <c r="A3" s="49" t="s">
        <v>31</v>
      </c>
      <c r="B3" s="66">
        <v>200</v>
      </c>
      <c r="C3" s="9"/>
    </row>
    <row r="4" spans="1:3">
      <c r="A4" s="49" t="s">
        <v>149</v>
      </c>
      <c r="B4" s="20">
        <v>0.03</v>
      </c>
      <c r="C4" s="9"/>
    </row>
    <row r="5" spans="1:3">
      <c r="A5" s="49" t="s">
        <v>28</v>
      </c>
      <c r="B5" s="19">
        <v>2</v>
      </c>
      <c r="C5" s="9"/>
    </row>
    <row r="6" spans="1:3">
      <c r="A6" s="9"/>
      <c r="B6" s="9"/>
      <c r="C6" s="9"/>
    </row>
    <row r="7" spans="1:3">
      <c r="A7" s="8" t="s">
        <v>44</v>
      </c>
      <c r="B7" s="9"/>
      <c r="C7" s="9"/>
    </row>
    <row r="8" spans="1:3">
      <c r="A8" s="46" t="s">
        <v>150</v>
      </c>
      <c r="B8" s="44"/>
      <c r="C8" s="9"/>
    </row>
    <row r="9" spans="1:3">
      <c r="A9" s="63" t="s">
        <v>151</v>
      </c>
      <c r="B9" s="60">
        <f>B3*EXP(B4*B5)</f>
        <v>212.36730930907191</v>
      </c>
      <c r="C9" s="9"/>
    </row>
    <row r="10" spans="1:3">
      <c r="A10" s="9"/>
      <c r="B10" s="44"/>
      <c r="C10" s="9"/>
    </row>
    <row r="11" spans="1:3">
      <c r="A11" s="49" t="s">
        <v>140</v>
      </c>
      <c r="B11" s="12">
        <f>(EXP(B4)-1)</f>
        <v>3.0454533953516938E-2</v>
      </c>
      <c r="C11" s="9"/>
    </row>
    <row r="12" spans="1:3">
      <c r="A12" s="9"/>
      <c r="B12" s="9"/>
      <c r="C12" s="9"/>
    </row>
    <row r="13" spans="1:3">
      <c r="A13" s="9"/>
      <c r="B13" s="9"/>
      <c r="C13" s="9"/>
    </row>
    <row r="14" spans="1:3">
      <c r="A14" s="8" t="s">
        <v>290</v>
      </c>
      <c r="B14" s="9"/>
      <c r="C14" s="9"/>
    </row>
    <row r="15" spans="1:3">
      <c r="A15" s="88" t="s">
        <v>291</v>
      </c>
      <c r="B15" s="47"/>
      <c r="C15" s="9"/>
    </row>
    <row r="16" spans="1:3">
      <c r="A16" s="122" t="s">
        <v>293</v>
      </c>
      <c r="B16" s="258">
        <f>B4</f>
        <v>0.03</v>
      </c>
      <c r="C16" s="9"/>
    </row>
    <row r="17" spans="1:3">
      <c r="A17" s="61" t="s">
        <v>292</v>
      </c>
      <c r="B17" s="259">
        <f>$B$3*(1+$B$4)^($B$5)</f>
        <v>212.17999999999998</v>
      </c>
      <c r="C17" s="9"/>
    </row>
    <row r="18" spans="1:3">
      <c r="A18" s="9"/>
      <c r="B18" s="9"/>
      <c r="C18" s="9"/>
    </row>
  </sheetData>
  <phoneticPr fontId="0" type="noConversion"/>
  <pageMargins left="0.78740157499999996" right="0.78740157499999996" top="0.984251969" bottom="0.984251969" header="0.51181102300000003" footer="0.51181102300000003"/>
  <pageSetup paperSize="9" orientation="portrait" horizontalDpi="4294967292" verticalDpi="300" r:id="rId1"/>
  <headerFooter alignWithMargins="0">
    <oddHeader>&amp;C&amp;F      &amp;A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E7" sqref="E7"/>
    </sheetView>
  </sheetViews>
  <sheetFormatPr baseColWidth="10" defaultRowHeight="12.75"/>
  <sheetData>
    <row r="1" spans="1:6">
      <c r="A1" s="8" t="s">
        <v>152</v>
      </c>
      <c r="B1" s="9"/>
      <c r="C1" s="9"/>
      <c r="D1" s="9"/>
      <c r="E1" s="9"/>
      <c r="F1" s="9"/>
    </row>
    <row r="2" spans="1:6">
      <c r="A2" s="9"/>
      <c r="B2" s="9"/>
      <c r="C2" s="9"/>
      <c r="D2" s="9"/>
      <c r="E2" s="9"/>
      <c r="F2" s="9"/>
    </row>
    <row r="3" spans="1:6">
      <c r="A3" s="16" t="s">
        <v>110</v>
      </c>
      <c r="B3" s="16" t="s">
        <v>153</v>
      </c>
      <c r="C3" s="31"/>
      <c r="D3" s="16" t="s">
        <v>110</v>
      </c>
      <c r="E3" s="16" t="s">
        <v>153</v>
      </c>
      <c r="F3" s="9"/>
    </row>
    <row r="4" spans="1:6">
      <c r="A4" s="19">
        <v>0</v>
      </c>
      <c r="B4" s="19">
        <v>100</v>
      </c>
      <c r="C4" s="9"/>
      <c r="D4" s="19">
        <v>0</v>
      </c>
      <c r="E4" s="18">
        <v>1</v>
      </c>
      <c r="F4" s="9"/>
    </row>
    <row r="5" spans="1:6">
      <c r="A5" s="19">
        <v>5</v>
      </c>
      <c r="B5" s="19">
        <v>300</v>
      </c>
      <c r="C5" s="9"/>
      <c r="D5" s="19">
        <v>10</v>
      </c>
      <c r="E5" s="18">
        <v>0.5</v>
      </c>
      <c r="F5" s="9"/>
    </row>
    <row r="6" spans="1:6">
      <c r="A6" s="9"/>
      <c r="B6" s="9"/>
      <c r="C6" s="9"/>
      <c r="D6" s="9"/>
      <c r="E6" s="9"/>
      <c r="F6" s="9"/>
    </row>
    <row r="7" spans="1:6">
      <c r="A7" s="19">
        <v>10</v>
      </c>
      <c r="B7" s="49">
        <f>B4*EXP(A7/A5*LN(B5/B4))</f>
        <v>900.00000000000023</v>
      </c>
      <c r="C7" s="9"/>
      <c r="D7" s="49">
        <f>LN(E7)/E10</f>
        <v>66.438561897747249</v>
      </c>
      <c r="E7" s="20">
        <v>0.01</v>
      </c>
      <c r="F7" s="9"/>
    </row>
    <row r="8" spans="1:6">
      <c r="A8" s="9"/>
      <c r="B8" s="9"/>
      <c r="C8" s="9"/>
      <c r="D8" s="9"/>
      <c r="E8" s="9"/>
      <c r="F8" s="9"/>
    </row>
    <row r="9" spans="1:6">
      <c r="A9" s="9"/>
      <c r="B9" s="9"/>
      <c r="C9" s="9"/>
      <c r="D9" s="9"/>
      <c r="E9" s="9"/>
      <c r="F9" s="9"/>
    </row>
    <row r="10" spans="1:6">
      <c r="A10" s="9" t="s">
        <v>6</v>
      </c>
      <c r="B10" s="30">
        <f>LN(B5/B4)/(A5-A4)</f>
        <v>0.21972245773362195</v>
      </c>
      <c r="C10" s="9"/>
      <c r="D10" s="9" t="s">
        <v>6</v>
      </c>
      <c r="E10" s="121">
        <f>LN(E5/E4)/(D5-D4)</f>
        <v>-6.9314718055994526E-2</v>
      </c>
      <c r="F10" s="9"/>
    </row>
    <row r="11" spans="1:6">
      <c r="A11" s="9" t="s">
        <v>154</v>
      </c>
      <c r="B11" s="9"/>
      <c r="C11" s="9"/>
      <c r="D11" s="9"/>
      <c r="E11" s="9"/>
      <c r="F11" s="9"/>
    </row>
  </sheetData>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workbookViewId="0">
      <selection activeCell="A6" sqref="A6"/>
    </sheetView>
  </sheetViews>
  <sheetFormatPr baseColWidth="10" defaultRowHeight="12.75"/>
  <cols>
    <col min="1" max="1" width="24.140625" customWidth="1"/>
    <col min="2" max="2" width="14" customWidth="1"/>
    <col min="8" max="8" width="20" customWidth="1"/>
    <col min="9" max="9" width="19.85546875" customWidth="1"/>
  </cols>
  <sheetData>
    <row r="1" spans="1:14">
      <c r="A1" s="8" t="s">
        <v>252</v>
      </c>
      <c r="B1" s="9"/>
      <c r="C1" s="9"/>
    </row>
    <row r="2" spans="1:14">
      <c r="A2" s="8" t="s">
        <v>349</v>
      </c>
      <c r="B2" s="9"/>
      <c r="C2" s="9"/>
    </row>
    <row r="3" spans="1:14">
      <c r="A3" s="49" t="s">
        <v>31</v>
      </c>
      <c r="B3" s="49">
        <v>100</v>
      </c>
      <c r="C3" s="9"/>
    </row>
    <row r="4" spans="1:14">
      <c r="A4" s="49" t="s">
        <v>33</v>
      </c>
      <c r="B4" s="64">
        <v>7.0000000000000007E-2</v>
      </c>
      <c r="C4" s="9"/>
    </row>
    <row r="5" spans="1:14">
      <c r="A5" s="9"/>
      <c r="B5" s="9"/>
      <c r="C5" s="9"/>
    </row>
    <row r="7" spans="1:14">
      <c r="G7" s="2" t="s">
        <v>254</v>
      </c>
    </row>
    <row r="8" spans="1:14">
      <c r="G8" s="238" t="s">
        <v>253</v>
      </c>
      <c r="L8" s="2" t="s">
        <v>255</v>
      </c>
    </row>
    <row r="9" spans="1:14">
      <c r="F9" s="1" t="s">
        <v>110</v>
      </c>
      <c r="G9" t="s">
        <v>155</v>
      </c>
      <c r="H9" t="s">
        <v>35</v>
      </c>
      <c r="I9" t="s">
        <v>156</v>
      </c>
      <c r="L9" s="237" t="s">
        <v>105</v>
      </c>
    </row>
    <row r="10" spans="1:14">
      <c r="F10" s="1">
        <v>0</v>
      </c>
      <c r="G10" s="4">
        <f>$B$3</f>
        <v>100</v>
      </c>
      <c r="H10" s="4">
        <f>$B$3</f>
        <v>100</v>
      </c>
      <c r="I10" s="4">
        <f>$B$3</f>
        <v>100</v>
      </c>
      <c r="L10" s="237" t="s">
        <v>22</v>
      </c>
      <c r="M10" s="1" t="s">
        <v>156</v>
      </c>
      <c r="N10" s="1" t="s">
        <v>312</v>
      </c>
    </row>
    <row r="11" spans="1:14">
      <c r="F11" s="1">
        <v>0.5</v>
      </c>
      <c r="G11">
        <f t="shared" ref="G11:G50" si="0">$B$3*EXP($B$4*F11)</f>
        <v>103.56197087996233</v>
      </c>
      <c r="H11">
        <f t="shared" ref="H11:H50" si="1">$B$3*(1+$B$4)^F11</f>
        <v>103.440804327886</v>
      </c>
      <c r="I11">
        <f t="shared" ref="I11:I50" si="2">$B$3*(1+$B$4*F11)</f>
        <v>103.49999999999999</v>
      </c>
      <c r="L11">
        <v>0</v>
      </c>
      <c r="M11">
        <f>$B$3*(1+L11*$B$4)</f>
        <v>100</v>
      </c>
      <c r="N11">
        <f>$B$3*(1+$B$4)^L11</f>
        <v>100</v>
      </c>
    </row>
    <row r="12" spans="1:14">
      <c r="F12" s="1">
        <v>1</v>
      </c>
      <c r="G12">
        <f t="shared" si="0"/>
        <v>107.25081812542166</v>
      </c>
      <c r="H12">
        <f t="shared" si="1"/>
        <v>107</v>
      </c>
      <c r="I12">
        <f t="shared" si="2"/>
        <v>107</v>
      </c>
      <c r="L12">
        <v>0.8</v>
      </c>
      <c r="M12">
        <f t="shared" ref="M12:M24" si="3">$B$3*(1+L12*$B$4)</f>
        <v>105.60000000000001</v>
      </c>
      <c r="N12">
        <f t="shared" ref="N12:N24" si="4">$B$3*(1+$B$4)^L12</f>
        <v>105.56185714735248</v>
      </c>
    </row>
    <row r="13" spans="1:14">
      <c r="F13" s="1">
        <v>1.5</v>
      </c>
      <c r="G13">
        <f t="shared" si="0"/>
        <v>111.07106103557052</v>
      </c>
      <c r="H13">
        <f t="shared" si="1"/>
        <v>110.68166063083804</v>
      </c>
      <c r="I13">
        <f t="shared" si="2"/>
        <v>110.5</v>
      </c>
      <c r="L13">
        <v>0.82499999999999996</v>
      </c>
      <c r="M13">
        <f t="shared" si="3"/>
        <v>105.77499999999999</v>
      </c>
      <c r="N13">
        <f t="shared" si="4"/>
        <v>105.74056255645037</v>
      </c>
    </row>
    <row r="14" spans="1:14">
      <c r="F14" s="1">
        <v>2</v>
      </c>
      <c r="G14">
        <f t="shared" si="0"/>
        <v>115.02737988572274</v>
      </c>
      <c r="H14">
        <f t="shared" si="1"/>
        <v>114.49000000000001</v>
      </c>
      <c r="I14">
        <f t="shared" si="2"/>
        <v>114.00000000000001</v>
      </c>
      <c r="L14">
        <v>0.85</v>
      </c>
      <c r="M14">
        <f t="shared" si="3"/>
        <v>105.95000000000002</v>
      </c>
      <c r="N14">
        <f t="shared" si="4"/>
        <v>105.91957049549706</v>
      </c>
    </row>
    <row r="15" spans="1:14">
      <c r="F15" s="1">
        <v>2.5</v>
      </c>
      <c r="G15">
        <f t="shared" si="0"/>
        <v>119.12462166123581</v>
      </c>
      <c r="H15">
        <f t="shared" si="1"/>
        <v>118.42937687499671</v>
      </c>
      <c r="I15">
        <f t="shared" si="2"/>
        <v>117.5</v>
      </c>
      <c r="L15">
        <v>0.875</v>
      </c>
      <c r="M15">
        <f t="shared" si="3"/>
        <v>106.125</v>
      </c>
      <c r="N15">
        <f t="shared" si="4"/>
        <v>106.09888147664479</v>
      </c>
    </row>
    <row r="16" spans="1:14">
      <c r="F16" s="1">
        <v>3</v>
      </c>
      <c r="G16">
        <f t="shared" si="0"/>
        <v>123.36780599567432</v>
      </c>
      <c r="H16">
        <f t="shared" si="1"/>
        <v>122.50430000000001</v>
      </c>
      <c r="I16">
        <f t="shared" si="2"/>
        <v>121</v>
      </c>
      <c r="L16">
        <v>0.9</v>
      </c>
      <c r="M16">
        <f t="shared" si="3"/>
        <v>106.3</v>
      </c>
      <c r="N16">
        <f t="shared" si="4"/>
        <v>106.27849601291277</v>
      </c>
    </row>
    <row r="17" spans="6:14">
      <c r="F17" s="1">
        <v>3.5</v>
      </c>
      <c r="G17">
        <f t="shared" si="0"/>
        <v>127.76213132048866</v>
      </c>
      <c r="H17">
        <f t="shared" si="1"/>
        <v>126.71943325624649</v>
      </c>
      <c r="I17">
        <f t="shared" si="2"/>
        <v>124.50000000000001</v>
      </c>
      <c r="L17">
        <v>0.92500000000000004</v>
      </c>
      <c r="M17">
        <f t="shared" si="3"/>
        <v>106.47500000000001</v>
      </c>
      <c r="N17">
        <f t="shared" si="4"/>
        <v>106.45841461818877</v>
      </c>
    </row>
    <row r="18" spans="6:14">
      <c r="F18" s="1">
        <v>4</v>
      </c>
      <c r="G18">
        <f t="shared" si="0"/>
        <v>132.3129812337437</v>
      </c>
      <c r="H18">
        <f t="shared" si="1"/>
        <v>131.079601</v>
      </c>
      <c r="I18">
        <f t="shared" si="2"/>
        <v>128</v>
      </c>
      <c r="L18">
        <v>0.94999999999999896</v>
      </c>
      <c r="M18">
        <f t="shared" si="3"/>
        <v>106.65</v>
      </c>
      <c r="N18">
        <f t="shared" si="4"/>
        <v>106.6386378072304</v>
      </c>
    </row>
    <row r="19" spans="6:14">
      <c r="F19" s="1">
        <v>4.5</v>
      </c>
      <c r="G19">
        <f t="shared" si="0"/>
        <v>137.02593109569966</v>
      </c>
      <c r="H19">
        <f t="shared" si="1"/>
        <v>135.58979358418375</v>
      </c>
      <c r="I19">
        <f t="shared" si="2"/>
        <v>131.5</v>
      </c>
      <c r="L19">
        <v>0.97499999999999898</v>
      </c>
      <c r="M19">
        <f t="shared" si="3"/>
        <v>106.82499999999999</v>
      </c>
      <c r="N19">
        <f t="shared" si="4"/>
        <v>106.8191660956668</v>
      </c>
    </row>
    <row r="20" spans="6:14">
      <c r="F20" s="1">
        <v>5</v>
      </c>
      <c r="G20">
        <f t="shared" si="0"/>
        <v>141.90675485932573</v>
      </c>
      <c r="H20">
        <f t="shared" si="1"/>
        <v>140.25517307000001</v>
      </c>
      <c r="I20">
        <f t="shared" si="2"/>
        <v>135</v>
      </c>
      <c r="L20">
        <v>0.999999999999999</v>
      </c>
      <c r="M20">
        <f t="shared" si="3"/>
        <v>106.99999999999999</v>
      </c>
      <c r="N20">
        <f t="shared" si="4"/>
        <v>107</v>
      </c>
    </row>
    <row r="21" spans="6:14">
      <c r="F21" s="1">
        <v>5.5</v>
      </c>
      <c r="G21">
        <f t="shared" si="0"/>
        <v>146.96143214411444</v>
      </c>
      <c r="H21">
        <f t="shared" si="1"/>
        <v>145.08107913507661</v>
      </c>
      <c r="I21">
        <f t="shared" si="2"/>
        <v>138.5</v>
      </c>
      <c r="L21">
        <v>1.0249999999999999</v>
      </c>
      <c r="M21">
        <f t="shared" si="3"/>
        <v>107.175</v>
      </c>
      <c r="N21">
        <f t="shared" si="4"/>
        <v>107.1811400376064</v>
      </c>
    </row>
    <row r="22" spans="6:14">
      <c r="F22" s="1">
        <v>6</v>
      </c>
      <c r="G22">
        <f t="shared" si="0"/>
        <v>152.19615556186338</v>
      </c>
      <c r="H22">
        <f t="shared" si="1"/>
        <v>150.07303518489999</v>
      </c>
      <c r="I22">
        <f t="shared" si="2"/>
        <v>142</v>
      </c>
      <c r="L22">
        <v>1.05</v>
      </c>
      <c r="M22">
        <f t="shared" si="3"/>
        <v>107.35000000000001</v>
      </c>
      <c r="N22">
        <f t="shared" si="4"/>
        <v>107.36258672673824</v>
      </c>
    </row>
    <row r="23" spans="6:14">
      <c r="F23" s="1">
        <v>6.5</v>
      </c>
      <c r="G23">
        <f t="shared" si="0"/>
        <v>157.61733830339912</v>
      </c>
      <c r="H23">
        <f t="shared" si="1"/>
        <v>155.23675467453199</v>
      </c>
      <c r="I23">
        <f t="shared" si="2"/>
        <v>145.5</v>
      </c>
      <c r="L23">
        <v>1.075</v>
      </c>
      <c r="M23">
        <f t="shared" si="3"/>
        <v>107.52500000000001</v>
      </c>
      <c r="N23">
        <f t="shared" si="4"/>
        <v>107.54434058652518</v>
      </c>
    </row>
    <row r="24" spans="6:14">
      <c r="F24" s="1">
        <v>7</v>
      </c>
      <c r="G24">
        <f t="shared" si="0"/>
        <v>163.23162199553792</v>
      </c>
      <c r="H24">
        <f t="shared" si="1"/>
        <v>160.57814764784302</v>
      </c>
      <c r="I24">
        <f t="shared" si="2"/>
        <v>149</v>
      </c>
      <c r="L24">
        <v>1.1000000000000001</v>
      </c>
      <c r="M24">
        <f t="shared" si="3"/>
        <v>107.69999999999999</v>
      </c>
      <c r="N24">
        <f t="shared" si="4"/>
        <v>107.72640213697562</v>
      </c>
    </row>
    <row r="25" spans="6:14">
      <c r="F25" s="1">
        <v>7.5</v>
      </c>
      <c r="G25">
        <f t="shared" si="0"/>
        <v>169.04588483790914</v>
      </c>
      <c r="H25">
        <f t="shared" si="1"/>
        <v>166.10332750174922</v>
      </c>
      <c r="I25">
        <f t="shared" si="2"/>
        <v>152.5</v>
      </c>
    </row>
    <row r="26" spans="6:14">
      <c r="F26" s="1">
        <v>8</v>
      </c>
      <c r="G26">
        <f t="shared" si="0"/>
        <v>175.06725002961014</v>
      </c>
      <c r="H26">
        <f t="shared" si="1"/>
        <v>171.81861798319201</v>
      </c>
      <c r="I26">
        <f t="shared" si="2"/>
        <v>156</v>
      </c>
    </row>
    <row r="27" spans="6:14">
      <c r="F27" s="1">
        <v>8.5</v>
      </c>
      <c r="G27">
        <f t="shared" si="0"/>
        <v>181.30309449601566</v>
      </c>
      <c r="H27">
        <f t="shared" si="1"/>
        <v>177.7305604268717</v>
      </c>
      <c r="I27">
        <f t="shared" si="2"/>
        <v>159.50000000000003</v>
      </c>
    </row>
    <row r="28" spans="6:14">
      <c r="F28" s="1">
        <v>9</v>
      </c>
      <c r="G28">
        <f t="shared" si="0"/>
        <v>187.76105792643435</v>
      </c>
      <c r="H28">
        <f t="shared" si="1"/>
        <v>183.84592124201549</v>
      </c>
      <c r="I28">
        <f t="shared" si="2"/>
        <v>163</v>
      </c>
    </row>
    <row r="29" spans="6:14">
      <c r="F29" s="1">
        <v>9.5</v>
      </c>
      <c r="G29">
        <f t="shared" si="0"/>
        <v>194.4490521336831</v>
      </c>
      <c r="H29">
        <f t="shared" si="1"/>
        <v>190.17169965675271</v>
      </c>
      <c r="I29">
        <f t="shared" si="2"/>
        <v>166.5</v>
      </c>
    </row>
    <row r="30" spans="6:14">
      <c r="F30" s="1">
        <v>10</v>
      </c>
      <c r="G30">
        <f t="shared" si="0"/>
        <v>201.37527074704767</v>
      </c>
      <c r="H30">
        <f t="shared" si="1"/>
        <v>196.71513572895657</v>
      </c>
      <c r="I30">
        <f t="shared" si="2"/>
        <v>170.00000000000003</v>
      </c>
    </row>
    <row r="31" spans="6:14">
      <c r="F31" s="1">
        <v>10.5</v>
      </c>
      <c r="G31">
        <f t="shared" si="0"/>
        <v>208.54819925050282</v>
      </c>
      <c r="H31">
        <f t="shared" si="1"/>
        <v>203.48371863272541</v>
      </c>
      <c r="I31">
        <f t="shared" si="2"/>
        <v>173.5</v>
      </c>
    </row>
    <row r="32" spans="6:14">
      <c r="F32" s="1">
        <v>11</v>
      </c>
      <c r="G32">
        <f t="shared" si="0"/>
        <v>215.97662537849152</v>
      </c>
      <c r="H32">
        <f t="shared" si="1"/>
        <v>210.48519522998356</v>
      </c>
      <c r="I32">
        <f t="shared" si="2"/>
        <v>177</v>
      </c>
    </row>
    <row r="33" spans="6:9">
      <c r="F33" s="1">
        <v>11.5</v>
      </c>
      <c r="G33">
        <f t="shared" si="0"/>
        <v>223.66964988199868</v>
      </c>
      <c r="H33">
        <f t="shared" si="1"/>
        <v>217.7275789370162</v>
      </c>
      <c r="I33">
        <f t="shared" si="2"/>
        <v>180.50000000000003</v>
      </c>
    </row>
    <row r="34" spans="6:9">
      <c r="F34" s="1">
        <v>12</v>
      </c>
      <c r="G34">
        <f t="shared" si="0"/>
        <v>231.63669767810919</v>
      </c>
      <c r="H34">
        <f t="shared" si="1"/>
        <v>225.21915889608235</v>
      </c>
      <c r="I34">
        <f t="shared" si="2"/>
        <v>184</v>
      </c>
    </row>
    <row r="35" spans="6:9">
      <c r="F35" s="1">
        <v>12.5</v>
      </c>
      <c r="G35">
        <f t="shared" si="0"/>
        <v>239.88752939670979</v>
      </c>
      <c r="H35">
        <f t="shared" si="1"/>
        <v>232.96850946260736</v>
      </c>
      <c r="I35">
        <f t="shared" si="2"/>
        <v>187.5</v>
      </c>
    </row>
    <row r="36" spans="6:9">
      <c r="F36" s="1">
        <v>13</v>
      </c>
      <c r="G36">
        <f t="shared" si="0"/>
        <v>248.4322533384817</v>
      </c>
      <c r="H36">
        <f t="shared" si="1"/>
        <v>240.98450001880815</v>
      </c>
      <c r="I36">
        <f t="shared" si="2"/>
        <v>191</v>
      </c>
    </row>
    <row r="37" spans="6:9">
      <c r="F37" s="1">
        <v>13.5</v>
      </c>
      <c r="G37">
        <f t="shared" si="0"/>
        <v>257.28133785883261</v>
      </c>
      <c r="H37">
        <f t="shared" si="1"/>
        <v>249.2763051249899</v>
      </c>
      <c r="I37">
        <f t="shared" si="2"/>
        <v>194.5</v>
      </c>
    </row>
    <row r="38" spans="6:9">
      <c r="F38" s="1">
        <v>14</v>
      </c>
      <c r="G38">
        <f t="shared" si="0"/>
        <v>266.44562419294175</v>
      </c>
      <c r="H38">
        <f t="shared" si="1"/>
        <v>257.85341502012471</v>
      </c>
      <c r="I38">
        <f t="shared" si="2"/>
        <v>198</v>
      </c>
    </row>
    <row r="39" spans="6:9">
      <c r="F39" s="1">
        <v>14.5</v>
      </c>
      <c r="G39">
        <f t="shared" si="0"/>
        <v>275.93633973762815</v>
      </c>
      <c r="H39">
        <f t="shared" si="1"/>
        <v>266.72564648373924</v>
      </c>
      <c r="I39">
        <f t="shared" si="2"/>
        <v>201.5</v>
      </c>
    </row>
    <row r="40" spans="6:9">
      <c r="F40" s="1">
        <v>15</v>
      </c>
      <c r="G40">
        <f t="shared" si="0"/>
        <v>285.76511180631638</v>
      </c>
      <c r="H40">
        <f t="shared" si="1"/>
        <v>275.90315407153344</v>
      </c>
      <c r="I40">
        <f t="shared" si="2"/>
        <v>204.99999999999997</v>
      </c>
    </row>
    <row r="41" spans="6:9">
      <c r="F41" s="1">
        <v>15.5</v>
      </c>
      <c r="G41">
        <f t="shared" si="0"/>
        <v>295.94398187394921</v>
      </c>
      <c r="H41">
        <f t="shared" si="1"/>
        <v>285.39644173760098</v>
      </c>
      <c r="I41">
        <f t="shared" si="2"/>
        <v>208.5</v>
      </c>
    </row>
    <row r="42" spans="6:9">
      <c r="F42" s="1">
        <v>16</v>
      </c>
      <c r="G42">
        <f t="shared" si="0"/>
        <v>306.48542032930027</v>
      </c>
      <c r="H42">
        <f t="shared" si="1"/>
        <v>295.21637485654077</v>
      </c>
      <c r="I42">
        <f t="shared" si="2"/>
        <v>212</v>
      </c>
    </row>
    <row r="43" spans="6:9">
      <c r="F43" s="1">
        <v>16.5</v>
      </c>
      <c r="G43">
        <f t="shared" si="0"/>
        <v>317.40234175275998</v>
      </c>
      <c r="H43">
        <f t="shared" si="1"/>
        <v>305.37419265923302</v>
      </c>
      <c r="I43">
        <f t="shared" si="2"/>
        <v>215.50000000000003</v>
      </c>
    </row>
    <row r="44" spans="6:9">
      <c r="F44" s="1">
        <v>17</v>
      </c>
      <c r="G44">
        <f t="shared" si="0"/>
        <v>328.70812073831189</v>
      </c>
      <c r="H44">
        <f t="shared" si="1"/>
        <v>315.8815210964986</v>
      </c>
      <c r="I44">
        <f t="shared" si="2"/>
        <v>219.00000000000003</v>
      </c>
    </row>
    <row r="45" spans="6:9">
      <c r="F45" s="1">
        <v>17.5</v>
      </c>
      <c r="G45">
        <f t="shared" si="0"/>
        <v>340.41660827908191</v>
      </c>
      <c r="H45">
        <f t="shared" si="1"/>
        <v>326.75038614537937</v>
      </c>
      <c r="I45">
        <f t="shared" si="2"/>
        <v>222.5</v>
      </c>
    </row>
    <row r="46" spans="6:9">
      <c r="F46" s="1">
        <v>18</v>
      </c>
      <c r="G46">
        <f t="shared" si="0"/>
        <v>352.54214873653831</v>
      </c>
      <c r="H46">
        <f t="shared" si="1"/>
        <v>337.99322757325353</v>
      </c>
      <c r="I46">
        <f t="shared" si="2"/>
        <v>226.00000000000003</v>
      </c>
    </row>
    <row r="47" spans="6:9">
      <c r="F47" s="1">
        <v>18.5</v>
      </c>
      <c r="G47">
        <f t="shared" si="0"/>
        <v>365.09959741412723</v>
      </c>
      <c r="H47">
        <f t="shared" si="1"/>
        <v>349.62291317555594</v>
      </c>
      <c r="I47">
        <f t="shared" si="2"/>
        <v>229.5</v>
      </c>
    </row>
    <row r="48" spans="6:9">
      <c r="F48" s="1">
        <v>19</v>
      </c>
      <c r="G48">
        <f t="shared" si="0"/>
        <v>378.10433875687812</v>
      </c>
      <c r="H48">
        <f t="shared" si="1"/>
        <v>361.65275350338129</v>
      </c>
      <c r="I48">
        <f t="shared" si="2"/>
        <v>233</v>
      </c>
    </row>
    <row r="49" spans="6:9">
      <c r="F49" s="1">
        <v>19.5</v>
      </c>
      <c r="G49">
        <f t="shared" si="0"/>
        <v>391.57230519927225</v>
      </c>
      <c r="H49">
        <f t="shared" si="1"/>
        <v>374.09651709784487</v>
      </c>
      <c r="I49">
        <f t="shared" si="2"/>
        <v>236.50000000000003</v>
      </c>
    </row>
    <row r="50" spans="6:9">
      <c r="F50" s="1">
        <v>20</v>
      </c>
      <c r="G50">
        <f t="shared" si="0"/>
        <v>405.51999668446751</v>
      </c>
      <c r="H50">
        <f t="shared" si="1"/>
        <v>386.96844624861797</v>
      </c>
      <c r="I50">
        <f t="shared" si="2"/>
        <v>240.00000000000003</v>
      </c>
    </row>
  </sheetData>
  <phoneticPr fontId="0" type="noConversion"/>
  <pageMargins left="0.78740157499999996" right="0.78740157499999996" top="0.984251969" bottom="0.984251969" header="0.51181102300000003" footer="0.51181102300000003"/>
  <pageSetup paperSize="9" orientation="portrait" horizontalDpi="4294967292" verticalDpi="300" r:id="rId1"/>
  <headerFooter alignWithMargins="0">
    <oddHeader>&amp;C&amp;F      &amp;A</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workbookViewId="0">
      <selection activeCell="B3" sqref="B3"/>
    </sheetView>
  </sheetViews>
  <sheetFormatPr baseColWidth="10" defaultRowHeight="12.75"/>
  <cols>
    <col min="1" max="1" width="24.140625" customWidth="1"/>
    <col min="2" max="2" width="14" customWidth="1"/>
    <col min="8" max="8" width="20" customWidth="1"/>
    <col min="9" max="9" width="19.85546875" customWidth="1"/>
  </cols>
  <sheetData>
    <row r="1" spans="1:14">
      <c r="A1" s="8" t="s">
        <v>252</v>
      </c>
      <c r="B1" s="9"/>
      <c r="C1" s="9"/>
    </row>
    <row r="2" spans="1:14">
      <c r="A2" s="8" t="s">
        <v>350</v>
      </c>
      <c r="B2" s="9"/>
      <c r="C2" s="9"/>
    </row>
    <row r="3" spans="1:14">
      <c r="A3" s="49" t="s">
        <v>31</v>
      </c>
      <c r="B3" s="49">
        <v>100</v>
      </c>
      <c r="C3" s="9"/>
    </row>
    <row r="4" spans="1:14">
      <c r="A4" s="49" t="s">
        <v>33</v>
      </c>
      <c r="B4" s="64">
        <v>-7.0000000000000007E-2</v>
      </c>
      <c r="C4" s="9"/>
    </row>
    <row r="5" spans="1:14">
      <c r="A5" s="9"/>
      <c r="B5" s="9"/>
      <c r="C5" s="9"/>
    </row>
    <row r="7" spans="1:14">
      <c r="G7" s="2" t="s">
        <v>351</v>
      </c>
    </row>
    <row r="8" spans="1:14">
      <c r="G8" s="238" t="s">
        <v>253</v>
      </c>
      <c r="L8" s="2" t="s">
        <v>255</v>
      </c>
    </row>
    <row r="9" spans="1:14">
      <c r="F9" s="1" t="s">
        <v>110</v>
      </c>
      <c r="G9" t="s">
        <v>155</v>
      </c>
      <c r="H9" t="s">
        <v>35</v>
      </c>
      <c r="I9" t="s">
        <v>156</v>
      </c>
      <c r="L9" s="237" t="s">
        <v>105</v>
      </c>
    </row>
    <row r="10" spans="1:14">
      <c r="F10" s="1">
        <v>0</v>
      </c>
      <c r="G10" s="4">
        <f>$B$3</f>
        <v>100</v>
      </c>
      <c r="H10" s="4">
        <f>$B$3</f>
        <v>100</v>
      </c>
      <c r="I10" s="4">
        <f>$B$3</f>
        <v>100</v>
      </c>
      <c r="L10" s="237" t="s">
        <v>22</v>
      </c>
      <c r="M10" s="1" t="s">
        <v>156</v>
      </c>
      <c r="N10" s="1" t="s">
        <v>312</v>
      </c>
    </row>
    <row r="11" spans="1:14">
      <c r="F11" s="1">
        <v>0.5</v>
      </c>
      <c r="G11">
        <f t="shared" ref="G11:G50" si="0">$B$3*EXP($B$4*F11)</f>
        <v>96.560541625756642</v>
      </c>
      <c r="H11">
        <f t="shared" ref="H11:H50" si="1">$B$3*(1+$B$4)^F11</f>
        <v>96.436507609929549</v>
      </c>
      <c r="I11">
        <f t="shared" ref="I11:I50" si="2">$B$3*(1+$B$4*F11)</f>
        <v>96.5</v>
      </c>
      <c r="L11">
        <v>0</v>
      </c>
      <c r="M11">
        <f>$B$3*(1+L11*$B$4)</f>
        <v>100</v>
      </c>
      <c r="N11">
        <f>$B$3*(1+$B$4)^L11</f>
        <v>100</v>
      </c>
    </row>
    <row r="12" spans="1:14">
      <c r="F12" s="1">
        <v>1</v>
      </c>
      <c r="G12">
        <f t="shared" si="0"/>
        <v>93.239381990594822</v>
      </c>
      <c r="H12">
        <f t="shared" si="1"/>
        <v>93</v>
      </c>
      <c r="I12">
        <f t="shared" si="2"/>
        <v>93</v>
      </c>
      <c r="L12">
        <v>0.8</v>
      </c>
      <c r="M12">
        <f t="shared" ref="M12:M24" si="3">$B$3*(1+L12*$B$4)</f>
        <v>94.399999999999991</v>
      </c>
      <c r="N12">
        <f t="shared" ref="N12:N24" si="4">$B$3*(1+$B$4)^L12</f>
        <v>94.359658151394683</v>
      </c>
    </row>
    <row r="13" spans="1:14">
      <c r="F13" s="1">
        <v>1.5</v>
      </c>
      <c r="G13">
        <f t="shared" si="0"/>
        <v>90.032452258626563</v>
      </c>
      <c r="H13">
        <f t="shared" si="1"/>
        <v>89.685952077234475</v>
      </c>
      <c r="I13">
        <f t="shared" si="2"/>
        <v>89.5</v>
      </c>
      <c r="L13">
        <v>0.82499999999999996</v>
      </c>
      <c r="M13">
        <f t="shared" si="3"/>
        <v>94.225000000000009</v>
      </c>
      <c r="N13">
        <f t="shared" si="4"/>
        <v>94.188619708845863</v>
      </c>
    </row>
    <row r="14" spans="1:14">
      <c r="F14" s="1">
        <v>2</v>
      </c>
      <c r="G14">
        <f t="shared" si="0"/>
        <v>86.935823539880587</v>
      </c>
      <c r="H14">
        <f t="shared" si="1"/>
        <v>86.49</v>
      </c>
      <c r="I14">
        <f t="shared" si="2"/>
        <v>86</v>
      </c>
      <c r="L14">
        <v>0.85</v>
      </c>
      <c r="M14">
        <f t="shared" si="3"/>
        <v>94.05</v>
      </c>
      <c r="N14">
        <f t="shared" si="4"/>
        <v>94.017891294432005</v>
      </c>
    </row>
    <row r="15" spans="1:14">
      <c r="F15" s="1">
        <v>2.5</v>
      </c>
      <c r="G15">
        <f t="shared" si="0"/>
        <v>83.945702076920739</v>
      </c>
      <c r="H15">
        <f t="shared" si="1"/>
        <v>83.407935431828051</v>
      </c>
      <c r="I15">
        <f t="shared" si="2"/>
        <v>82.5</v>
      </c>
      <c r="L15">
        <v>0.875</v>
      </c>
      <c r="M15">
        <f t="shared" si="3"/>
        <v>93.875</v>
      </c>
      <c r="N15">
        <f t="shared" si="4"/>
        <v>93.847472346189079</v>
      </c>
    </row>
    <row r="16" spans="1:14">
      <c r="F16" s="1">
        <v>3</v>
      </c>
      <c r="G16">
        <f t="shared" si="0"/>
        <v>81.058424597018714</v>
      </c>
      <c r="H16">
        <f t="shared" si="1"/>
        <v>80.435699999999983</v>
      </c>
      <c r="I16">
        <f t="shared" si="2"/>
        <v>79</v>
      </c>
      <c r="L16">
        <v>0.9</v>
      </c>
      <c r="M16">
        <f t="shared" si="3"/>
        <v>93.699999999999989</v>
      </c>
      <c r="N16">
        <f t="shared" si="4"/>
        <v>93.677362303171748</v>
      </c>
    </row>
    <row r="17" spans="6:14">
      <c r="F17" s="1">
        <v>3.5</v>
      </c>
      <c r="G17">
        <f t="shared" si="0"/>
        <v>78.270453824186816</v>
      </c>
      <c r="H17">
        <f t="shared" si="1"/>
        <v>77.569379951600084</v>
      </c>
      <c r="I17">
        <f t="shared" si="2"/>
        <v>75.5</v>
      </c>
      <c r="L17">
        <v>0.92500000000000004</v>
      </c>
      <c r="M17">
        <f t="shared" si="3"/>
        <v>93.525000000000006</v>
      </c>
      <c r="N17">
        <f t="shared" si="4"/>
        <v>93.507560605451445</v>
      </c>
    </row>
    <row r="18" spans="6:14">
      <c r="F18" s="1">
        <v>4</v>
      </c>
      <c r="G18">
        <f t="shared" si="0"/>
        <v>75.578374145572553</v>
      </c>
      <c r="H18">
        <f t="shared" si="1"/>
        <v>74.805200999999983</v>
      </c>
      <c r="I18">
        <f t="shared" si="2"/>
        <v>72</v>
      </c>
      <c r="L18">
        <v>0.94999999999999896</v>
      </c>
      <c r="M18">
        <f t="shared" si="3"/>
        <v>93.350000000000009</v>
      </c>
      <c r="N18">
        <f t="shared" si="4"/>
        <v>93.338066694114545</v>
      </c>
    </row>
    <row r="19" spans="6:14">
      <c r="F19" s="1">
        <v>4.5</v>
      </c>
      <c r="G19">
        <f t="shared" si="0"/>
        <v>72.978887426905686</v>
      </c>
      <c r="H19">
        <f t="shared" si="1"/>
        <v>72.139523354988071</v>
      </c>
      <c r="I19">
        <f t="shared" si="2"/>
        <v>68.5</v>
      </c>
      <c r="L19">
        <v>0.97499999999999898</v>
      </c>
      <c r="M19">
        <f t="shared" si="3"/>
        <v>93.175000000000011</v>
      </c>
      <c r="N19">
        <f t="shared" si="4"/>
        <v>93.168880011260484</v>
      </c>
    </row>
    <row r="20" spans="6:14">
      <c r="F20" s="1">
        <v>5</v>
      </c>
      <c r="G20">
        <f t="shared" si="0"/>
        <v>70.46880897187134</v>
      </c>
      <c r="H20">
        <f t="shared" si="1"/>
        <v>69.568836929999975</v>
      </c>
      <c r="I20">
        <f t="shared" si="2"/>
        <v>64.999999999999986</v>
      </c>
      <c r="L20">
        <v>0.999999999999999</v>
      </c>
      <c r="M20">
        <f t="shared" si="3"/>
        <v>93</v>
      </c>
      <c r="N20">
        <f t="shared" si="4"/>
        <v>93</v>
      </c>
    </row>
    <row r="21" spans="6:14">
      <c r="F21" s="1">
        <v>5.5</v>
      </c>
      <c r="G21">
        <f t="shared" si="0"/>
        <v>68.045063620458762</v>
      </c>
      <c r="H21">
        <f t="shared" si="1"/>
        <v>67.089756720138908</v>
      </c>
      <c r="I21">
        <f t="shared" si="2"/>
        <v>61.5</v>
      </c>
      <c r="L21">
        <v>1.0249999999999999</v>
      </c>
      <c r="M21">
        <f t="shared" si="3"/>
        <v>92.825000000000003</v>
      </c>
      <c r="N21">
        <f t="shared" si="4"/>
        <v>92.831426104453257</v>
      </c>
    </row>
    <row r="22" spans="6:14">
      <c r="F22" s="1">
        <v>6</v>
      </c>
      <c r="G22">
        <f t="shared" si="0"/>
        <v>65.704681981505672</v>
      </c>
      <c r="H22">
        <f t="shared" si="1"/>
        <v>64.699018344899969</v>
      </c>
      <c r="I22">
        <f t="shared" si="2"/>
        <v>57.999999999999993</v>
      </c>
      <c r="L22">
        <v>1.05</v>
      </c>
      <c r="M22">
        <f t="shared" si="3"/>
        <v>92.65</v>
      </c>
      <c r="N22">
        <f t="shared" si="4"/>
        <v>92.663157769748025</v>
      </c>
    </row>
    <row r="23" spans="6:14">
      <c r="F23" s="1">
        <v>6.5</v>
      </c>
      <c r="G23">
        <f t="shared" si="0"/>
        <v>63.444796794822814</v>
      </c>
      <c r="H23">
        <f t="shared" si="1"/>
        <v>62.393473749729175</v>
      </c>
      <c r="I23">
        <f t="shared" si="2"/>
        <v>54.499999999999993</v>
      </c>
      <c r="L23">
        <v>1.075</v>
      </c>
      <c r="M23">
        <f t="shared" si="3"/>
        <v>92.474999999999994</v>
      </c>
      <c r="N23">
        <f t="shared" si="4"/>
        <v>92.495194442017834</v>
      </c>
    </row>
    <row r="24" spans="6:14">
      <c r="F24" s="1">
        <v>7</v>
      </c>
      <c r="G24">
        <f t="shared" si="0"/>
        <v>61.262639418441601</v>
      </c>
      <c r="H24">
        <f t="shared" si="1"/>
        <v>60.17008706075697</v>
      </c>
      <c r="I24">
        <f t="shared" si="2"/>
        <v>51</v>
      </c>
      <c r="L24">
        <v>1.1000000000000001</v>
      </c>
      <c r="M24">
        <f t="shared" si="3"/>
        <v>92.300000000000011</v>
      </c>
      <c r="N24">
        <f t="shared" si="4"/>
        <v>92.327535568400165</v>
      </c>
    </row>
    <row r="25" spans="6:14">
      <c r="F25" s="1">
        <v>7.5</v>
      </c>
      <c r="G25">
        <f t="shared" si="0"/>
        <v>59.155536436681508</v>
      </c>
      <c r="H25">
        <f t="shared" si="1"/>
        <v>58.025930587248133</v>
      </c>
      <c r="I25">
        <f t="shared" si="2"/>
        <v>47.5</v>
      </c>
    </row>
    <row r="26" spans="6:14">
      <c r="F26" s="1">
        <v>8</v>
      </c>
      <c r="G26">
        <f t="shared" si="0"/>
        <v>57.120906384881486</v>
      </c>
      <c r="H26">
        <f t="shared" si="1"/>
        <v>55.958180966503981</v>
      </c>
      <c r="I26">
        <f t="shared" si="2"/>
        <v>43.999999999999993</v>
      </c>
    </row>
    <row r="27" spans="6:14">
      <c r="F27" s="1">
        <v>8.5</v>
      </c>
      <c r="G27">
        <f t="shared" si="0"/>
        <v>55.156256586782973</v>
      </c>
      <c r="H27">
        <f t="shared" si="1"/>
        <v>53.96411544614076</v>
      </c>
      <c r="I27">
        <f t="shared" si="2"/>
        <v>40.499999999999993</v>
      </c>
    </row>
    <row r="28" spans="6:14">
      <c r="F28" s="1">
        <v>9</v>
      </c>
      <c r="G28">
        <f t="shared" si="0"/>
        <v>53.259180100689719</v>
      </c>
      <c r="H28">
        <f t="shared" si="1"/>
        <v>52.041108298848691</v>
      </c>
      <c r="I28">
        <f t="shared" si="2"/>
        <v>36.999999999999986</v>
      </c>
    </row>
    <row r="29" spans="6:14">
      <c r="F29" s="1">
        <v>9.5</v>
      </c>
      <c r="G29">
        <f t="shared" si="0"/>
        <v>51.427352770663191</v>
      </c>
      <c r="H29">
        <f t="shared" si="1"/>
        <v>50.186627364910898</v>
      </c>
      <c r="I29">
        <f t="shared" si="2"/>
        <v>33.5</v>
      </c>
    </row>
    <row r="30" spans="6:14">
      <c r="F30" s="1">
        <v>10</v>
      </c>
      <c r="G30">
        <f t="shared" si="0"/>
        <v>49.658530379140949</v>
      </c>
      <c r="H30">
        <f t="shared" si="1"/>
        <v>48.398230717929287</v>
      </c>
      <c r="I30">
        <f t="shared" si="2"/>
        <v>29.999999999999993</v>
      </c>
    </row>
    <row r="31" spans="6:14">
      <c r="F31" s="1">
        <v>10.5</v>
      </c>
      <c r="G31">
        <f t="shared" si="0"/>
        <v>47.950545897489405</v>
      </c>
      <c r="H31">
        <f t="shared" si="1"/>
        <v>46.673563449367137</v>
      </c>
      <c r="I31">
        <f t="shared" si="2"/>
        <v>26.499999999999989</v>
      </c>
    </row>
    <row r="32" spans="6:14">
      <c r="F32" s="1">
        <v>11</v>
      </c>
      <c r="G32">
        <f t="shared" si="0"/>
        <v>46.301306831122808</v>
      </c>
      <c r="H32">
        <f t="shared" si="1"/>
        <v>45.010354567674234</v>
      </c>
      <c r="I32">
        <f t="shared" si="2"/>
        <v>23</v>
      </c>
    </row>
    <row r="33" spans="6:9">
      <c r="F33" s="1">
        <v>11.5</v>
      </c>
      <c r="G33">
        <f t="shared" si="0"/>
        <v>44.708792655935639</v>
      </c>
      <c r="H33">
        <f t="shared" si="1"/>
        <v>43.40641400791143</v>
      </c>
      <c r="I33">
        <f t="shared" si="2"/>
        <v>19.499999999999996</v>
      </c>
    </row>
    <row r="34" spans="6:9">
      <c r="F34" s="1">
        <v>12</v>
      </c>
      <c r="G34">
        <f t="shared" si="0"/>
        <v>43.17105234290797</v>
      </c>
      <c r="H34">
        <f t="shared" si="1"/>
        <v>41.859629747937035</v>
      </c>
      <c r="I34">
        <f t="shared" si="2"/>
        <v>15.999999999999993</v>
      </c>
    </row>
    <row r="35" spans="6:9">
      <c r="F35" s="1">
        <v>12.5</v>
      </c>
      <c r="G35">
        <f t="shared" si="0"/>
        <v>41.686201967850835</v>
      </c>
      <c r="H35">
        <f t="shared" si="1"/>
        <v>40.367965027357627</v>
      </c>
      <c r="I35">
        <f t="shared" si="2"/>
        <v>12.499999999999989</v>
      </c>
    </row>
    <row r="36" spans="6:9">
      <c r="F36" s="1">
        <v>13</v>
      </c>
      <c r="G36">
        <f t="shared" si="0"/>
        <v>40.252422403363589</v>
      </c>
      <c r="H36">
        <f t="shared" si="1"/>
        <v>38.929455665581436</v>
      </c>
      <c r="I36">
        <f t="shared" si="2"/>
        <v>8.9999999999999858</v>
      </c>
    </row>
    <row r="37" spans="6:9">
      <c r="F37" s="1">
        <v>13.5</v>
      </c>
      <c r="G37">
        <f t="shared" si="0"/>
        <v>38.867957090175295</v>
      </c>
      <c r="H37">
        <f t="shared" si="1"/>
        <v>37.542207475442588</v>
      </c>
      <c r="I37">
        <f t="shared" si="2"/>
        <v>5.4999999999999938</v>
      </c>
    </row>
    <row r="38" spans="6:9">
      <c r="F38" s="1">
        <v>14</v>
      </c>
      <c r="G38">
        <f t="shared" si="0"/>
        <v>37.531109885139955</v>
      </c>
      <c r="H38">
        <f t="shared" si="1"/>
        <v>36.204393768990734</v>
      </c>
      <c r="I38">
        <f t="shared" si="2"/>
        <v>1.9999999999999907</v>
      </c>
    </row>
    <row r="39" spans="6:9">
      <c r="F39" s="1">
        <v>14.5</v>
      </c>
      <c r="G39">
        <f t="shared" si="0"/>
        <v>36.240242983249026</v>
      </c>
      <c r="H39">
        <f t="shared" si="1"/>
        <v>34.914252952161611</v>
      </c>
      <c r="I39">
        <f t="shared" si="2"/>
        <v>-1.5000000000000124</v>
      </c>
    </row>
    <row r="40" spans="6:9">
      <c r="F40" s="1">
        <v>15</v>
      </c>
      <c r="G40">
        <f t="shared" si="0"/>
        <v>34.99377491111553</v>
      </c>
      <c r="H40">
        <f t="shared" si="1"/>
        <v>33.670086205161383</v>
      </c>
      <c r="I40">
        <f t="shared" si="2"/>
        <v>-5.0000000000000044</v>
      </c>
    </row>
    <row r="41" spans="6:9">
      <c r="F41" s="1">
        <v>15.5</v>
      </c>
      <c r="G41">
        <f t="shared" si="0"/>
        <v>33.790178589471296</v>
      </c>
      <c r="H41">
        <f t="shared" si="1"/>
        <v>32.470255245510295</v>
      </c>
      <c r="I41">
        <f t="shared" si="2"/>
        <v>-8.5000000000000178</v>
      </c>
    </row>
    <row r="42" spans="6:9">
      <c r="F42" s="1">
        <v>16</v>
      </c>
      <c r="G42">
        <f t="shared" si="0"/>
        <v>32.627979462303948</v>
      </c>
      <c r="H42">
        <f t="shared" si="1"/>
        <v>31.313180170800081</v>
      </c>
      <c r="I42">
        <f t="shared" si="2"/>
        <v>-12.000000000000011</v>
      </c>
    </row>
    <row r="43" spans="6:9">
      <c r="F43" s="1">
        <v>16.5</v>
      </c>
      <c r="G43">
        <f t="shared" si="0"/>
        <v>31.505753690341333</v>
      </c>
      <c r="H43">
        <f t="shared" si="1"/>
        <v>30.197337378324573</v>
      </c>
      <c r="I43">
        <f t="shared" si="2"/>
        <v>-15.500000000000004</v>
      </c>
    </row>
    <row r="44" spans="6:9">
      <c r="F44" s="1">
        <v>17</v>
      </c>
      <c r="G44">
        <f t="shared" si="0"/>
        <v>30.422126406670401</v>
      </c>
      <c r="H44">
        <f t="shared" si="1"/>
        <v>29.121257558844071</v>
      </c>
      <c r="I44">
        <f t="shared" si="2"/>
        <v>-19.000000000000018</v>
      </c>
    </row>
    <row r="45" spans="6:9">
      <c r="F45" s="1">
        <v>17.5</v>
      </c>
      <c r="G45">
        <f t="shared" si="0"/>
        <v>29.375770032353277</v>
      </c>
      <c r="H45">
        <f t="shared" si="1"/>
        <v>28.08352376184185</v>
      </c>
      <c r="I45">
        <f t="shared" si="2"/>
        <v>-22.500000000000007</v>
      </c>
    </row>
    <row r="46" spans="6:9">
      <c r="F46" s="1">
        <v>18</v>
      </c>
      <c r="G46">
        <f t="shared" si="0"/>
        <v>28.365402649977028</v>
      </c>
      <c r="H46">
        <f t="shared" si="1"/>
        <v>27.082769529724988</v>
      </c>
      <c r="I46">
        <f t="shared" si="2"/>
        <v>-26.000000000000021</v>
      </c>
    </row>
    <row r="47" spans="6:9">
      <c r="F47" s="1">
        <v>18.5</v>
      </c>
      <c r="G47">
        <f t="shared" si="0"/>
        <v>27.389786433144554</v>
      </c>
      <c r="H47">
        <f t="shared" si="1"/>
        <v>26.117677098512914</v>
      </c>
      <c r="I47">
        <f t="shared" si="2"/>
        <v>-29.500000000000014</v>
      </c>
    </row>
    <row r="48" spans="6:9">
      <c r="F48" s="1">
        <v>19</v>
      </c>
      <c r="G48">
        <f t="shared" si="0"/>
        <v>26.447726129982396</v>
      </c>
      <c r="H48">
        <f t="shared" si="1"/>
        <v>25.18697566264424</v>
      </c>
      <c r="I48">
        <f t="shared" si="2"/>
        <v>-33.000000000000007</v>
      </c>
    </row>
    <row r="49" spans="6:9">
      <c r="F49" s="1">
        <v>19.5</v>
      </c>
      <c r="G49">
        <f t="shared" si="0"/>
        <v>25.538067598807761</v>
      </c>
      <c r="H49">
        <f t="shared" si="1"/>
        <v>24.28943970161701</v>
      </c>
      <c r="I49">
        <f t="shared" si="2"/>
        <v>-36.500000000000021</v>
      </c>
    </row>
    <row r="50" spans="6:9">
      <c r="F50" s="1">
        <v>20</v>
      </c>
      <c r="G50">
        <f t="shared" si="0"/>
        <v>24.659696394160644</v>
      </c>
      <c r="H50">
        <f t="shared" si="1"/>
        <v>23.423887366259137</v>
      </c>
      <c r="I50">
        <f t="shared" si="2"/>
        <v>-40.000000000000014</v>
      </c>
    </row>
  </sheetData>
  <pageMargins left="0.78740157499999996" right="0.78740157499999996" top="0.984251969" bottom="0.984251969" header="0.51181102300000003" footer="0.51181102300000003"/>
  <pageSetup paperSize="9" orientation="portrait" horizontalDpi="4294967292" verticalDpi="300" r:id="rId1"/>
  <headerFooter alignWithMargins="0">
    <oddHeader>&amp;C&amp;F      &amp;A</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A25" sqref="A25"/>
    </sheetView>
  </sheetViews>
  <sheetFormatPr baseColWidth="10" defaultRowHeight="12.75"/>
  <sheetData>
    <row r="1" spans="1:7">
      <c r="A1" s="9" t="s">
        <v>109</v>
      </c>
      <c r="B1" s="9">
        <v>200</v>
      </c>
      <c r="C1" s="9"/>
      <c r="D1" s="9"/>
      <c r="E1" s="9"/>
      <c r="F1" s="9"/>
      <c r="G1" s="9"/>
    </row>
    <row r="2" spans="1:7">
      <c r="A2" s="9" t="s">
        <v>110</v>
      </c>
      <c r="B2" s="131">
        <v>5</v>
      </c>
      <c r="C2" s="9"/>
      <c r="D2" s="9"/>
      <c r="E2" s="9"/>
      <c r="F2" s="9"/>
      <c r="G2" s="9"/>
    </row>
    <row r="3" spans="1:7">
      <c r="A3" s="9"/>
      <c r="B3" s="9"/>
      <c r="C3" s="9"/>
      <c r="D3" s="9"/>
      <c r="E3" s="9"/>
      <c r="F3" s="9"/>
      <c r="G3" s="9"/>
    </row>
    <row r="4" spans="1:7" ht="15.75">
      <c r="A4" s="9"/>
      <c r="B4" s="9" t="s">
        <v>111</v>
      </c>
      <c r="C4" s="9" t="s">
        <v>112</v>
      </c>
      <c r="D4" s="9"/>
      <c r="E4" s="9"/>
      <c r="F4" s="9"/>
      <c r="G4" s="9"/>
    </row>
    <row r="5" spans="1:7">
      <c r="A5" s="9">
        <v>0</v>
      </c>
      <c r="B5" s="9">
        <f>$B$1*(1+$B$2)^A5</f>
        <v>200</v>
      </c>
      <c r="C5" s="9">
        <f>$B$1*(1+A5*$B$2)</f>
        <v>200</v>
      </c>
      <c r="D5" s="9"/>
      <c r="E5" s="9"/>
      <c r="F5" s="9"/>
      <c r="G5" s="9"/>
    </row>
    <row r="6" spans="1:7">
      <c r="A6" s="9">
        <v>0.1</v>
      </c>
      <c r="B6" s="9">
        <f t="shared" ref="B6:B20" si="0">$B$1*(1+$B$2)^A6</f>
        <v>239.24623977026309</v>
      </c>
      <c r="C6" s="9">
        <f t="shared" ref="C6:C20" si="1">$B$1*(1+A6*$B$2)</f>
        <v>300</v>
      </c>
      <c r="D6" s="9"/>
      <c r="E6" s="9"/>
      <c r="F6" s="9"/>
      <c r="G6" s="9"/>
    </row>
    <row r="7" spans="1:7">
      <c r="A7" s="9">
        <v>0.2</v>
      </c>
      <c r="B7" s="9">
        <f t="shared" si="0"/>
        <v>286.19381622105112</v>
      </c>
      <c r="C7" s="9">
        <f t="shared" si="1"/>
        <v>400</v>
      </c>
      <c r="D7" s="9"/>
      <c r="E7" s="9"/>
      <c r="F7" s="9"/>
      <c r="G7" s="9"/>
    </row>
    <row r="8" spans="1:7">
      <c r="A8" s="9">
        <v>0.3</v>
      </c>
      <c r="B8" s="9">
        <f t="shared" si="0"/>
        <v>342.35397188194099</v>
      </c>
      <c r="C8" s="9">
        <f t="shared" si="1"/>
        <v>500</v>
      </c>
      <c r="D8" s="9"/>
      <c r="E8" s="9"/>
      <c r="F8" s="9"/>
      <c r="G8" s="9"/>
    </row>
    <row r="9" spans="1:7">
      <c r="A9" s="9">
        <v>0.4</v>
      </c>
      <c r="B9" s="9">
        <f t="shared" si="0"/>
        <v>409.53450221584387</v>
      </c>
      <c r="C9" s="9">
        <f t="shared" si="1"/>
        <v>600</v>
      </c>
      <c r="D9" s="9"/>
      <c r="E9" s="9"/>
      <c r="F9" s="9"/>
      <c r="G9" s="9"/>
    </row>
    <row r="10" spans="1:7">
      <c r="A10" s="9">
        <v>0.5</v>
      </c>
      <c r="B10" s="9">
        <f t="shared" si="0"/>
        <v>489.89794855663558</v>
      </c>
      <c r="C10" s="9">
        <f t="shared" si="1"/>
        <v>700</v>
      </c>
      <c r="D10" s="9"/>
      <c r="E10" s="9"/>
      <c r="F10" s="9"/>
      <c r="G10" s="9"/>
    </row>
    <row r="11" spans="1:7">
      <c r="A11" s="9">
        <v>0.6</v>
      </c>
      <c r="B11" s="9">
        <f t="shared" si="0"/>
        <v>586.03121031670423</v>
      </c>
      <c r="C11" s="9">
        <f t="shared" si="1"/>
        <v>800</v>
      </c>
      <c r="D11" s="9"/>
      <c r="E11" s="9"/>
      <c r="F11" s="9"/>
      <c r="G11" s="9"/>
    </row>
    <row r="12" spans="1:7">
      <c r="A12" s="9">
        <v>0.7</v>
      </c>
      <c r="B12" s="9">
        <f t="shared" si="0"/>
        <v>701.02881728143848</v>
      </c>
      <c r="C12" s="9">
        <f t="shared" si="1"/>
        <v>900</v>
      </c>
      <c r="D12" s="9"/>
      <c r="E12" s="9"/>
      <c r="F12" s="9"/>
      <c r="G12" s="9"/>
    </row>
    <row r="13" spans="1:7">
      <c r="A13" s="9">
        <v>0.8</v>
      </c>
      <c r="B13" s="9">
        <f t="shared" si="0"/>
        <v>838.59254252589517</v>
      </c>
      <c r="C13" s="9">
        <f t="shared" si="1"/>
        <v>1000</v>
      </c>
      <c r="D13" s="9"/>
      <c r="E13" s="9"/>
      <c r="F13" s="9"/>
      <c r="G13" s="9"/>
    </row>
    <row r="14" spans="1:7">
      <c r="A14" s="9">
        <v>0.9</v>
      </c>
      <c r="B14" s="9">
        <f t="shared" si="0"/>
        <v>1003.1505624935244</v>
      </c>
      <c r="C14" s="9">
        <f t="shared" si="1"/>
        <v>1100</v>
      </c>
      <c r="D14" s="9"/>
      <c r="E14" s="9"/>
      <c r="F14" s="9"/>
      <c r="G14" s="9"/>
    </row>
    <row r="15" spans="1:7">
      <c r="A15" s="9">
        <v>1</v>
      </c>
      <c r="B15" s="9">
        <f t="shared" si="0"/>
        <v>1200</v>
      </c>
      <c r="C15" s="9">
        <f t="shared" si="1"/>
        <v>1200</v>
      </c>
      <c r="D15" s="9"/>
      <c r="E15" s="9"/>
      <c r="F15" s="9"/>
      <c r="G15" s="9"/>
    </row>
    <row r="16" spans="1:7">
      <c r="A16" s="9">
        <v>1.1000000000000001</v>
      </c>
      <c r="B16" s="9">
        <f t="shared" si="0"/>
        <v>1435.4774386215788</v>
      </c>
      <c r="C16" s="9">
        <f t="shared" si="1"/>
        <v>1300</v>
      </c>
      <c r="D16" s="9"/>
      <c r="E16" s="9"/>
      <c r="F16" s="9"/>
      <c r="G16" s="9"/>
    </row>
    <row r="17" spans="1:7">
      <c r="A17" s="9">
        <v>1.2</v>
      </c>
      <c r="B17" s="9">
        <f t="shared" si="0"/>
        <v>1717.1628973263062</v>
      </c>
      <c r="C17" s="9">
        <f t="shared" si="1"/>
        <v>1400</v>
      </c>
      <c r="D17" s="9"/>
      <c r="E17" s="9"/>
      <c r="F17" s="9"/>
      <c r="G17" s="9"/>
    </row>
    <row r="18" spans="1:7">
      <c r="A18" s="9">
        <v>1.3</v>
      </c>
      <c r="B18" s="9">
        <f t="shared" si="0"/>
        <v>2054.1238312916462</v>
      </c>
      <c r="C18" s="9">
        <f t="shared" si="1"/>
        <v>1500</v>
      </c>
      <c r="D18" s="9"/>
      <c r="E18" s="9"/>
      <c r="F18" s="9"/>
      <c r="G18" s="9"/>
    </row>
    <row r="19" spans="1:7">
      <c r="A19" s="9">
        <v>1.4</v>
      </c>
      <c r="B19" s="9">
        <f t="shared" si="0"/>
        <v>2457.207013295063</v>
      </c>
      <c r="C19" s="9">
        <f t="shared" si="1"/>
        <v>1600</v>
      </c>
      <c r="D19" s="9"/>
      <c r="E19" s="9"/>
      <c r="F19" s="9"/>
      <c r="G19" s="9"/>
    </row>
    <row r="20" spans="1:7">
      <c r="A20" s="9">
        <v>1.5</v>
      </c>
      <c r="B20" s="9">
        <f t="shared" si="0"/>
        <v>2939.387691339814</v>
      </c>
      <c r="C20" s="9">
        <f t="shared" si="1"/>
        <v>1700</v>
      </c>
      <c r="D20" s="9"/>
      <c r="E20" s="9"/>
      <c r="F20" s="9"/>
      <c r="G20" s="9"/>
    </row>
    <row r="21" spans="1:7">
      <c r="A21" s="9"/>
      <c r="B21" s="9"/>
      <c r="C21" s="9"/>
      <c r="D21" s="9"/>
      <c r="E21" s="9"/>
      <c r="F21" s="9"/>
      <c r="G21" s="9"/>
    </row>
    <row r="22" spans="1:7">
      <c r="A22" s="9"/>
      <c r="B22" s="9"/>
      <c r="C22" s="9"/>
      <c r="D22" s="9"/>
      <c r="E22" s="9"/>
      <c r="F22" s="9"/>
      <c r="G22" s="9"/>
    </row>
    <row r="23" spans="1:7">
      <c r="A23" s="9"/>
      <c r="B23" s="9"/>
      <c r="C23" s="9"/>
      <c r="D23" s="9"/>
      <c r="E23" s="9"/>
      <c r="F23" s="9"/>
      <c r="G23" s="9"/>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oddHeader>&amp;A</oddHeader>
    <oddFooter>Seite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B4" sqref="B4"/>
    </sheetView>
  </sheetViews>
  <sheetFormatPr baseColWidth="10" defaultRowHeight="12.75"/>
  <cols>
    <col min="1" max="1" width="19.42578125" customWidth="1"/>
    <col min="3" max="3" width="4.85546875" customWidth="1"/>
  </cols>
  <sheetData>
    <row r="1" spans="1:5">
      <c r="A1" s="8" t="s">
        <v>284</v>
      </c>
      <c r="B1" s="9"/>
      <c r="C1" s="9"/>
      <c r="D1" s="9"/>
      <c r="E1" s="9"/>
    </row>
    <row r="2" spans="1:5">
      <c r="A2" s="8"/>
      <c r="B2" s="9"/>
      <c r="C2" s="9"/>
      <c r="D2" s="9"/>
      <c r="E2" s="9"/>
    </row>
    <row r="3" spans="1:5">
      <c r="A3" s="8"/>
      <c r="B3" s="255" t="s">
        <v>285</v>
      </c>
      <c r="C3" s="9"/>
      <c r="D3" s="19" t="s">
        <v>286</v>
      </c>
      <c r="E3" s="9"/>
    </row>
    <row r="4" spans="1:5">
      <c r="A4" s="49" t="s">
        <v>18</v>
      </c>
      <c r="B4" s="20">
        <v>0.08</v>
      </c>
      <c r="C4" s="9"/>
      <c r="D4" s="20">
        <v>0.16</v>
      </c>
      <c r="E4" s="9"/>
    </row>
    <row r="5" spans="1:5">
      <c r="A5" s="49" t="s">
        <v>19</v>
      </c>
      <c r="B5" s="20">
        <v>0.12</v>
      </c>
      <c r="C5" s="9"/>
      <c r="D5" s="20">
        <v>0.19</v>
      </c>
      <c r="E5" s="9"/>
    </row>
    <row r="6" spans="1:5">
      <c r="A6" s="9"/>
      <c r="B6" s="74"/>
      <c r="C6" s="9"/>
      <c r="D6" s="74"/>
      <c r="E6" s="9"/>
    </row>
    <row r="7" spans="1:5">
      <c r="A7" s="9" t="s">
        <v>20</v>
      </c>
      <c r="B7" s="74"/>
      <c r="C7" s="9"/>
      <c r="D7" s="74"/>
      <c r="E7" s="9"/>
    </row>
    <row r="8" spans="1:5">
      <c r="A8" s="49" t="s">
        <v>283</v>
      </c>
      <c r="B8" s="39">
        <f>100*(B5-B4)</f>
        <v>3.9999999999999996</v>
      </c>
      <c r="C8" s="9"/>
      <c r="D8" s="39">
        <f>100*(D5-D4)</f>
        <v>3</v>
      </c>
      <c r="E8" s="9"/>
    </row>
    <row r="9" spans="1:5">
      <c r="A9" s="49" t="s">
        <v>21</v>
      </c>
      <c r="B9" s="64">
        <f>(B5-B4)/B4</f>
        <v>0.49999999999999989</v>
      </c>
      <c r="C9" s="9"/>
      <c r="D9" s="64">
        <f>(D5-D4)/D4</f>
        <v>0.1875</v>
      </c>
      <c r="E9" s="9"/>
    </row>
    <row r="10" spans="1:5">
      <c r="A10" s="9"/>
      <c r="B10" s="9"/>
      <c r="C10" s="9"/>
      <c r="D10" s="9"/>
      <c r="E10" s="9"/>
    </row>
  </sheetData>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3"/>
  <sheetViews>
    <sheetView showGridLines="0" workbookViewId="0">
      <selection activeCell="B1" sqref="B1"/>
    </sheetView>
  </sheetViews>
  <sheetFormatPr baseColWidth="10" defaultRowHeight="12.75"/>
  <cols>
    <col min="2" max="2" width="13.85546875" customWidth="1"/>
  </cols>
  <sheetData>
    <row r="1" spans="1:11">
      <c r="A1" s="49" t="s">
        <v>41</v>
      </c>
      <c r="B1" s="17">
        <v>10000</v>
      </c>
      <c r="C1" s="9"/>
      <c r="D1" s="9" t="s">
        <v>106</v>
      </c>
      <c r="E1" s="9">
        <f>LN(B2/LN(1+B2))/LN(1+B2)</f>
        <v>0.50281900281903757</v>
      </c>
      <c r="F1" s="9"/>
      <c r="J1" t="s">
        <v>196</v>
      </c>
    </row>
    <row r="2" spans="1:11">
      <c r="A2" s="49" t="s">
        <v>33</v>
      </c>
      <c r="B2" s="18">
        <v>7.0000000000000007E-2</v>
      </c>
      <c r="C2" s="9"/>
      <c r="D2" s="9"/>
      <c r="E2" s="9"/>
      <c r="F2" s="9"/>
      <c r="J2" t="s">
        <v>107</v>
      </c>
      <c r="K2" t="s">
        <v>108</v>
      </c>
    </row>
    <row r="3" spans="1:11">
      <c r="A3" s="9"/>
      <c r="B3" s="9"/>
      <c r="C3" s="9"/>
      <c r="D3" s="9"/>
      <c r="E3" s="9"/>
      <c r="F3" s="9"/>
      <c r="J3">
        <v>0</v>
      </c>
      <c r="K3" s="4">
        <f>-$B$1*((1+$B$2*J3)-(1+$B$2)^(J3))</f>
        <v>0</v>
      </c>
    </row>
    <row r="4" spans="1:11">
      <c r="A4" s="9"/>
      <c r="B4" s="9"/>
      <c r="C4" s="9"/>
      <c r="D4" s="9"/>
      <c r="E4" s="9"/>
      <c r="F4" s="9"/>
      <c r="J4">
        <f>J3+0.015</f>
        <v>1.4999999999999999E-2</v>
      </c>
      <c r="K4" s="4">
        <f t="shared" ref="K4:K19" si="0">-$B$1*((1+$B$2*J4)-(1+$B$2)^(J4))</f>
        <v>-0.34605108200524981</v>
      </c>
    </row>
    <row r="5" spans="1:11">
      <c r="A5" s="9"/>
      <c r="B5" s="9"/>
      <c r="C5" s="9"/>
      <c r="D5" s="9"/>
      <c r="E5" s="9"/>
      <c r="F5" s="9"/>
      <c r="J5">
        <f t="shared" ref="J5:J20" si="1">J4+0.015</f>
        <v>0.03</v>
      </c>
      <c r="K5" s="4">
        <f t="shared" si="0"/>
        <v>-0.68179189614880897</v>
      </c>
    </row>
    <row r="6" spans="1:11">
      <c r="A6" s="9"/>
      <c r="B6" s="9"/>
      <c r="C6" s="9"/>
      <c r="D6" s="9"/>
      <c r="E6" s="9"/>
      <c r="F6" s="9"/>
      <c r="J6">
        <f t="shared" si="1"/>
        <v>4.4999999999999998E-2</v>
      </c>
      <c r="K6" s="4">
        <f t="shared" si="0"/>
        <v>-1.0072119734338969</v>
      </c>
    </row>
    <row r="7" spans="1:11">
      <c r="A7" s="9"/>
      <c r="B7" s="9"/>
      <c r="C7" s="9"/>
      <c r="D7" s="9"/>
      <c r="E7" s="9"/>
      <c r="F7" s="9"/>
      <c r="J7">
        <f t="shared" si="1"/>
        <v>0.06</v>
      </c>
      <c r="K7" s="4">
        <f t="shared" si="0"/>
        <v>-1.3223008342411191</v>
      </c>
    </row>
    <row r="8" spans="1:11">
      <c r="A8" s="9"/>
      <c r="B8" s="9"/>
      <c r="C8" s="9"/>
      <c r="D8" s="9"/>
      <c r="E8" s="9"/>
      <c r="F8" s="9"/>
      <c r="J8">
        <f t="shared" si="1"/>
        <v>7.4999999999999997E-2</v>
      </c>
      <c r="K8" s="4">
        <f t="shared" si="0"/>
        <v>-1.6270479883018218</v>
      </c>
    </row>
    <row r="9" spans="1:11">
      <c r="A9" s="9"/>
      <c r="B9" s="9"/>
      <c r="C9" s="9"/>
      <c r="D9" s="9"/>
      <c r="E9" s="9"/>
      <c r="F9" s="9"/>
      <c r="J9">
        <f t="shared" si="1"/>
        <v>0.09</v>
      </c>
      <c r="K9" s="4">
        <f t="shared" si="0"/>
        <v>-1.9214429347047535</v>
      </c>
    </row>
    <row r="10" spans="1:11">
      <c r="A10" s="9"/>
      <c r="B10" s="9"/>
      <c r="C10" s="9"/>
      <c r="D10" s="9"/>
      <c r="E10" s="9"/>
      <c r="F10" s="9"/>
      <c r="J10">
        <f t="shared" si="1"/>
        <v>0.105</v>
      </c>
      <c r="K10" s="4">
        <f t="shared" si="0"/>
        <v>-2.2054751618671986</v>
      </c>
    </row>
    <row r="11" spans="1:11">
      <c r="A11" s="9"/>
      <c r="B11" s="9"/>
      <c r="C11" s="9"/>
      <c r="D11" s="9"/>
      <c r="E11" s="9"/>
      <c r="F11" s="9"/>
      <c r="J11">
        <f t="shared" si="1"/>
        <v>0.12</v>
      </c>
      <c r="K11" s="4">
        <f t="shared" si="0"/>
        <v>-2.4791341475394191</v>
      </c>
    </row>
    <row r="12" spans="1:11">
      <c r="A12" s="9"/>
      <c r="B12" s="9"/>
      <c r="C12" s="9"/>
      <c r="D12" s="9"/>
      <c r="E12" s="9"/>
      <c r="F12" s="9"/>
      <c r="J12">
        <f t="shared" si="1"/>
        <v>0.13500000000000001</v>
      </c>
      <c r="K12" s="4">
        <f t="shared" si="0"/>
        <v>-2.7424093587824494</v>
      </c>
    </row>
    <row r="13" spans="1:11">
      <c r="A13" s="9"/>
      <c r="B13" s="9"/>
      <c r="C13" s="9"/>
      <c r="D13" s="9"/>
      <c r="E13" s="9"/>
      <c r="F13" s="9"/>
      <c r="J13">
        <f t="shared" si="1"/>
        <v>0.15000000000000002</v>
      </c>
      <c r="K13" s="4">
        <f t="shared" si="0"/>
        <v>-2.9952902519658764</v>
      </c>
    </row>
    <row r="14" spans="1:11">
      <c r="A14" s="9"/>
      <c r="B14" s="9"/>
      <c r="C14" s="9"/>
      <c r="D14" s="9"/>
      <c r="E14" s="9"/>
      <c r="F14" s="9"/>
      <c r="J14">
        <f t="shared" si="1"/>
        <v>0.16500000000000004</v>
      </c>
      <c r="K14" s="4">
        <f t="shared" si="0"/>
        <v>-3.2377662727545165</v>
      </c>
    </row>
    <row r="15" spans="1:11">
      <c r="A15" s="9"/>
      <c r="B15" s="9"/>
      <c r="C15" s="9"/>
      <c r="D15" s="9"/>
      <c r="E15" s="9"/>
      <c r="F15" s="9"/>
      <c r="J15">
        <f t="shared" si="1"/>
        <v>0.18000000000000005</v>
      </c>
      <c r="K15" s="4">
        <f t="shared" si="0"/>
        <v>-3.469826856090652</v>
      </c>
    </row>
    <row r="16" spans="1:11">
      <c r="A16" s="9"/>
      <c r="B16" s="9"/>
      <c r="C16" s="9"/>
      <c r="D16" s="9"/>
      <c r="E16" s="9"/>
      <c r="F16" s="9"/>
      <c r="J16">
        <f t="shared" si="1"/>
        <v>0.19500000000000006</v>
      </c>
      <c r="K16" s="4">
        <f t="shared" si="0"/>
        <v>-3.6914614261940315</v>
      </c>
    </row>
    <row r="17" spans="1:11">
      <c r="A17" s="9"/>
      <c r="B17" s="9"/>
      <c r="C17" s="9"/>
      <c r="D17" s="9"/>
      <c r="E17" s="9"/>
      <c r="F17" s="9"/>
      <c r="J17">
        <f t="shared" si="1"/>
        <v>0.21000000000000008</v>
      </c>
      <c r="K17" s="4">
        <f t="shared" si="0"/>
        <v>-3.9026593965441059</v>
      </c>
    </row>
    <row r="18" spans="1:11">
      <c r="A18" s="9"/>
      <c r="B18" s="9"/>
      <c r="C18" s="9"/>
      <c r="D18" s="9"/>
      <c r="E18" s="9"/>
      <c r="F18" s="9"/>
      <c r="J18">
        <f t="shared" si="1"/>
        <v>0.22500000000000009</v>
      </c>
      <c r="K18" s="4">
        <f t="shared" si="0"/>
        <v>-4.1034101698711467</v>
      </c>
    </row>
    <row r="19" spans="1:11">
      <c r="A19" s="9"/>
      <c r="B19" s="9"/>
      <c r="C19" s="9"/>
      <c r="D19" s="9"/>
      <c r="E19" s="9"/>
      <c r="F19" s="9"/>
      <c r="J19">
        <f t="shared" si="1"/>
        <v>0.2400000000000001</v>
      </c>
      <c r="K19" s="4">
        <f t="shared" si="0"/>
        <v>-4.2937031381429236</v>
      </c>
    </row>
    <row r="20" spans="1:11" ht="14.25">
      <c r="A20" s="9"/>
      <c r="B20" s="9"/>
      <c r="C20" s="9" t="s">
        <v>298</v>
      </c>
      <c r="D20" s="9"/>
      <c r="E20" s="9"/>
      <c r="F20" s="9"/>
      <c r="J20">
        <f t="shared" si="1"/>
        <v>0.25500000000000012</v>
      </c>
      <c r="K20" s="4">
        <f t="shared" ref="K20:K35" si="2">-$B$1*((1+$B$2*J20)-(1+$B$2)^(J20))</f>
        <v>-4.4735276825602632</v>
      </c>
    </row>
    <row r="21" spans="1:11">
      <c r="A21" s="9"/>
      <c r="B21" s="9"/>
      <c r="C21" s="9"/>
      <c r="D21" s="9"/>
      <c r="E21" s="9"/>
      <c r="F21" s="9"/>
      <c r="J21">
        <f t="shared" ref="J21:J36" si="3">J20+0.015</f>
        <v>0.27000000000000013</v>
      </c>
      <c r="K21" s="4">
        <f t="shared" si="2"/>
        <v>-4.6428731735370654</v>
      </c>
    </row>
    <row r="22" spans="1:11">
      <c r="J22">
        <f t="shared" si="3"/>
        <v>0.28500000000000014</v>
      </c>
      <c r="K22" s="4">
        <f t="shared" si="2"/>
        <v>-4.8017289706958621</v>
      </c>
    </row>
    <row r="23" spans="1:11">
      <c r="J23">
        <f t="shared" si="3"/>
        <v>0.30000000000000016</v>
      </c>
      <c r="K23" s="4">
        <f t="shared" si="2"/>
        <v>-4.9500844228544949</v>
      </c>
    </row>
    <row r="24" spans="1:11">
      <c r="J24">
        <f t="shared" si="3"/>
        <v>0.31500000000000017</v>
      </c>
      <c r="K24" s="4">
        <f t="shared" si="2"/>
        <v>-5.0879288680216739</v>
      </c>
    </row>
    <row r="25" spans="1:11">
      <c r="J25">
        <f t="shared" si="3"/>
        <v>0.33000000000000018</v>
      </c>
      <c r="K25" s="4">
        <f t="shared" si="2"/>
        <v>-5.215251633368112</v>
      </c>
    </row>
    <row r="26" spans="1:11">
      <c r="J26">
        <f t="shared" si="3"/>
        <v>0.3450000000000002</v>
      </c>
      <c r="K26" s="4">
        <f t="shared" si="2"/>
        <v>-5.332042035235407</v>
      </c>
    </row>
    <row r="27" spans="1:11">
      <c r="J27">
        <f t="shared" si="3"/>
        <v>0.36000000000000021</v>
      </c>
      <c r="K27" s="4">
        <f t="shared" si="2"/>
        <v>-5.4382893791160569</v>
      </c>
    </row>
    <row r="28" spans="1:11">
      <c r="J28">
        <f t="shared" si="3"/>
        <v>0.37500000000000022</v>
      </c>
      <c r="K28" s="4">
        <f t="shared" si="2"/>
        <v>-5.5339829596445789</v>
      </c>
    </row>
    <row r="29" spans="1:11">
      <c r="J29">
        <f t="shared" si="3"/>
        <v>0.39000000000000024</v>
      </c>
      <c r="K29" s="4">
        <f t="shared" si="2"/>
        <v>-5.6191120605797451</v>
      </c>
    </row>
    <row r="30" spans="1:11">
      <c r="J30">
        <f t="shared" si="3"/>
        <v>0.40500000000000025</v>
      </c>
      <c r="K30" s="4">
        <f t="shared" si="2"/>
        <v>-5.6936659548068036</v>
      </c>
    </row>
    <row r="31" spans="1:11">
      <c r="J31">
        <f t="shared" si="3"/>
        <v>0.42000000000000026</v>
      </c>
      <c r="K31" s="4">
        <f t="shared" si="2"/>
        <v>-5.7576339043130531</v>
      </c>
    </row>
    <row r="32" spans="1:11">
      <c r="J32">
        <f t="shared" si="3"/>
        <v>0.43500000000000028</v>
      </c>
      <c r="K32" s="4">
        <f t="shared" si="2"/>
        <v>-5.8110051601856227</v>
      </c>
    </row>
    <row r="33" spans="10:11">
      <c r="J33">
        <f t="shared" si="3"/>
        <v>0.45000000000000029</v>
      </c>
      <c r="K33" s="4">
        <f t="shared" si="2"/>
        <v>-5.8537689625937084</v>
      </c>
    </row>
    <row r="34" spans="10:11">
      <c r="J34">
        <f t="shared" si="3"/>
        <v>0.4650000000000003</v>
      </c>
      <c r="K34" s="4">
        <f t="shared" si="2"/>
        <v>-5.8859145407841318</v>
      </c>
    </row>
    <row r="35" spans="10:11">
      <c r="J35">
        <f t="shared" si="3"/>
        <v>0.48000000000000032</v>
      </c>
      <c r="K35" s="4">
        <f t="shared" si="2"/>
        <v>-5.9074311130680179</v>
      </c>
    </row>
    <row r="36" spans="10:11">
      <c r="J36">
        <f t="shared" si="3"/>
        <v>0.49500000000000033</v>
      </c>
      <c r="K36" s="4">
        <f t="shared" ref="K36:K51" si="4">-$B$1*((1+$B$2*J36)-(1+$B$2)^(J36))</f>
        <v>-5.9183078868030314</v>
      </c>
    </row>
    <row r="37" spans="10:11">
      <c r="J37">
        <f t="shared" ref="J37:J52" si="5">J36+0.015</f>
        <v>0.51000000000000034</v>
      </c>
      <c r="K37" s="4">
        <f t="shared" si="4"/>
        <v>-5.9185340583978174</v>
      </c>
    </row>
    <row r="38" spans="10:11">
      <c r="J38">
        <f t="shared" si="5"/>
        <v>0.52500000000000036</v>
      </c>
      <c r="K38" s="4">
        <f t="shared" si="4"/>
        <v>-5.9080988132786949</v>
      </c>
    </row>
    <row r="39" spans="10:11">
      <c r="J39">
        <f t="shared" si="5"/>
        <v>0.54000000000000037</v>
      </c>
      <c r="K39" s="4">
        <f t="shared" si="4"/>
        <v>-5.8869913259029794</v>
      </c>
    </row>
    <row r="40" spans="10:11">
      <c r="J40">
        <f t="shared" si="5"/>
        <v>0.55500000000000038</v>
      </c>
      <c r="K40" s="4">
        <f t="shared" si="4"/>
        <v>-5.855200759730117</v>
      </c>
    </row>
    <row r="41" spans="10:11">
      <c r="J41">
        <f t="shared" si="5"/>
        <v>0.5700000000000004</v>
      </c>
      <c r="K41" s="4">
        <f t="shared" si="4"/>
        <v>-5.812716267212803</v>
      </c>
    </row>
    <row r="42" spans="10:11">
      <c r="J42">
        <f t="shared" si="5"/>
        <v>0.58500000000000041</v>
      </c>
      <c r="K42" s="4">
        <f t="shared" si="4"/>
        <v>-5.759526989794761</v>
      </c>
    </row>
    <row r="43" spans="10:11">
      <c r="J43">
        <f t="shared" si="5"/>
        <v>0.60000000000000042</v>
      </c>
      <c r="K43" s="4">
        <f t="shared" si="4"/>
        <v>-5.6956220578929795</v>
      </c>
    </row>
    <row r="44" spans="10:11">
      <c r="J44">
        <f t="shared" si="5"/>
        <v>0.61500000000000044</v>
      </c>
      <c r="K44" s="4">
        <f t="shared" si="4"/>
        <v>-5.6209905908866098</v>
      </c>
    </row>
    <row r="45" spans="10:11">
      <c r="J45">
        <f t="shared" si="5"/>
        <v>0.63000000000000045</v>
      </c>
      <c r="K45" s="4">
        <f t="shared" si="4"/>
        <v>-5.5356216971036432</v>
      </c>
    </row>
    <row r="46" spans="10:11">
      <c r="J46">
        <f t="shared" si="5"/>
        <v>0.64500000000000046</v>
      </c>
      <c r="K46" s="4">
        <f t="shared" si="4"/>
        <v>-5.4395044738209108</v>
      </c>
    </row>
    <row r="47" spans="10:11">
      <c r="J47">
        <f t="shared" si="5"/>
        <v>0.66000000000000048</v>
      </c>
      <c r="K47" s="4">
        <f t="shared" si="4"/>
        <v>-5.3326280072352183</v>
      </c>
    </row>
    <row r="48" spans="10:11">
      <c r="J48">
        <f t="shared" si="5"/>
        <v>0.67500000000000049</v>
      </c>
      <c r="K48" s="4">
        <f t="shared" si="4"/>
        <v>-5.2149813724677863</v>
      </c>
    </row>
    <row r="49" spans="10:11">
      <c r="J49">
        <f t="shared" si="5"/>
        <v>0.6900000000000005</v>
      </c>
      <c r="K49" s="4">
        <f t="shared" si="4"/>
        <v>-5.0865536335442663</v>
      </c>
    </row>
    <row r="50" spans="10:11">
      <c r="J50">
        <f t="shared" si="5"/>
        <v>0.70500000000000052</v>
      </c>
      <c r="K50" s="4">
        <f t="shared" si="4"/>
        <v>-4.9473338433858594</v>
      </c>
    </row>
    <row r="51" spans="10:11">
      <c r="J51">
        <f t="shared" si="5"/>
        <v>0.72000000000000053</v>
      </c>
      <c r="K51" s="4">
        <f t="shared" si="4"/>
        <v>-4.797311043800434</v>
      </c>
    </row>
    <row r="52" spans="10:11">
      <c r="J52">
        <f t="shared" si="5"/>
        <v>0.73500000000000054</v>
      </c>
      <c r="K52" s="4">
        <f t="shared" ref="K52:K67" si="6">-$B$1*((1+$B$2*J52)-(1+$B$2)^(J52))</f>
        <v>-4.6364742654669833</v>
      </c>
    </row>
    <row r="53" spans="10:11">
      <c r="J53">
        <f t="shared" ref="J53:J68" si="7">J52+0.015</f>
        <v>0.75000000000000056</v>
      </c>
      <c r="K53" s="4">
        <f t="shared" si="6"/>
        <v>-4.4648125279267425</v>
      </c>
    </row>
    <row r="54" spans="10:11">
      <c r="J54">
        <f t="shared" si="7"/>
        <v>0.76500000000000057</v>
      </c>
      <c r="K54" s="4">
        <f t="shared" si="6"/>
        <v>-4.2823148395720878</v>
      </c>
    </row>
    <row r="55" spans="10:11">
      <c r="J55">
        <f t="shared" si="7"/>
        <v>0.78000000000000058</v>
      </c>
      <c r="K55" s="4">
        <f t="shared" si="6"/>
        <v>-4.0889701976309922</v>
      </c>
    </row>
    <row r="56" spans="10:11">
      <c r="J56">
        <f t="shared" si="7"/>
        <v>0.7950000000000006</v>
      </c>
      <c r="K56" s="4">
        <f t="shared" si="6"/>
        <v>-3.8847675881648058</v>
      </c>
    </row>
    <row r="57" spans="10:11">
      <c r="J57">
        <f t="shared" si="7"/>
        <v>0.81000000000000061</v>
      </c>
      <c r="K57" s="4">
        <f t="shared" si="6"/>
        <v>-3.6696959860482714</v>
      </c>
    </row>
    <row r="58" spans="10:11">
      <c r="J58">
        <f t="shared" si="7"/>
        <v>0.82500000000000062</v>
      </c>
      <c r="K58" s="4">
        <f t="shared" si="6"/>
        <v>-3.4437443549628632</v>
      </c>
    </row>
    <row r="59" spans="10:11">
      <c r="J59">
        <f t="shared" si="7"/>
        <v>0.84000000000000064</v>
      </c>
      <c r="K59" s="4">
        <f t="shared" si="6"/>
        <v>-3.2069016473812439</v>
      </c>
    </row>
    <row r="60" spans="10:11">
      <c r="J60">
        <f t="shared" si="7"/>
        <v>0.85500000000000065</v>
      </c>
      <c r="K60" s="4">
        <f t="shared" si="6"/>
        <v>-2.9591568045583827</v>
      </c>
    </row>
    <row r="61" spans="10:11">
      <c r="J61">
        <f t="shared" si="7"/>
        <v>0.87000000000000066</v>
      </c>
      <c r="K61" s="4">
        <f t="shared" si="6"/>
        <v>-2.7004987565248939</v>
      </c>
    </row>
    <row r="62" spans="10:11">
      <c r="J62">
        <f t="shared" si="7"/>
        <v>0.88500000000000068</v>
      </c>
      <c r="K62" s="4">
        <f t="shared" si="6"/>
        <v>-2.4309164220670532</v>
      </c>
    </row>
    <row r="63" spans="10:11">
      <c r="J63">
        <f t="shared" si="7"/>
        <v>0.90000000000000069</v>
      </c>
      <c r="K63" s="4">
        <f t="shared" si="6"/>
        <v>-2.1503987087223564</v>
      </c>
    </row>
    <row r="64" spans="10:11">
      <c r="J64">
        <f t="shared" si="7"/>
        <v>0.9150000000000007</v>
      </c>
      <c r="K64" s="4">
        <f t="shared" si="6"/>
        <v>-1.8589345127573154</v>
      </c>
    </row>
    <row r="65" spans="10:11">
      <c r="J65">
        <f t="shared" si="7"/>
        <v>0.93000000000000071</v>
      </c>
      <c r="K65" s="4">
        <f t="shared" si="6"/>
        <v>-1.556512719174119</v>
      </c>
    </row>
    <row r="66" spans="10:11">
      <c r="J66">
        <f t="shared" si="7"/>
        <v>0.94500000000000073</v>
      </c>
      <c r="K66" s="4">
        <f t="shared" si="6"/>
        <v>-1.2431222016839882</v>
      </c>
    </row>
    <row r="67" spans="10:11">
      <c r="J67">
        <f t="shared" si="7"/>
        <v>0.96000000000000074</v>
      </c>
      <c r="K67" s="4">
        <f t="shared" si="6"/>
        <v>-0.91875182269607336</v>
      </c>
    </row>
    <row r="68" spans="10:11">
      <c r="J68">
        <f t="shared" si="7"/>
        <v>0.97500000000000075</v>
      </c>
      <c r="K68" s="4">
        <f t="shared" ref="K68:K83" si="8">-$B$1*((1+$B$2*J68)-(1+$B$2)^(J68))</f>
        <v>-0.58339043331967488</v>
      </c>
    </row>
    <row r="69" spans="10:11">
      <c r="J69">
        <f t="shared" ref="J69:J84" si="9">J68+0.015</f>
        <v>0.99000000000000077</v>
      </c>
      <c r="K69" s="4">
        <f t="shared" si="8"/>
        <v>-0.23702687333759798</v>
      </c>
    </row>
    <row r="70" spans="10:11">
      <c r="J70">
        <f t="shared" si="9"/>
        <v>1.0050000000000008</v>
      </c>
      <c r="K70" s="4">
        <f t="shared" si="8"/>
        <v>0.12035002879606793</v>
      </c>
    </row>
    <row r="71" spans="10:11">
      <c r="J71">
        <f t="shared" si="9"/>
        <v>1.0200000000000007</v>
      </c>
      <c r="K71" s="4">
        <f t="shared" si="8"/>
        <v>0.48875145597815361</v>
      </c>
    </row>
    <row r="72" spans="10:11">
      <c r="J72">
        <f t="shared" si="9"/>
        <v>1.0350000000000006</v>
      </c>
      <c r="K72" s="4">
        <f t="shared" si="8"/>
        <v>0.86818860244752827</v>
      </c>
    </row>
    <row r="73" spans="10:11">
      <c r="J73">
        <f t="shared" si="9"/>
        <v>1.0500000000000005</v>
      </c>
      <c r="K73" s="4">
        <f t="shared" si="8"/>
        <v>1.2586726738228471</v>
      </c>
    </row>
    <row r="74" spans="10:11">
      <c r="J74">
        <f t="shared" si="9"/>
        <v>1.0650000000000004</v>
      </c>
      <c r="K74" s="4">
        <f t="shared" si="8"/>
        <v>1.6602148870936695</v>
      </c>
    </row>
    <row r="75" spans="10:11">
      <c r="J75">
        <f t="shared" si="9"/>
        <v>1.0800000000000003</v>
      </c>
      <c r="K75" s="4">
        <f t="shared" si="8"/>
        <v>2.0728264706404431</v>
      </c>
    </row>
    <row r="76" spans="10:11">
      <c r="J76">
        <f t="shared" si="9"/>
        <v>1.0950000000000002</v>
      </c>
      <c r="K76" s="4">
        <f t="shared" si="8"/>
        <v>2.4965186642456061</v>
      </c>
    </row>
    <row r="77" spans="10:11">
      <c r="J77">
        <f t="shared" si="9"/>
        <v>1.1100000000000001</v>
      </c>
      <c r="K77" s="4">
        <f t="shared" si="8"/>
        <v>2.9313027191046892</v>
      </c>
    </row>
    <row r="78" spans="10:11">
      <c r="J78">
        <f t="shared" si="9"/>
        <v>1.125</v>
      </c>
      <c r="K78" s="4">
        <f t="shared" si="8"/>
        <v>3.3771898978329773</v>
      </c>
    </row>
    <row r="79" spans="10:11">
      <c r="J79">
        <f t="shared" si="9"/>
        <v>1.1399999999999999</v>
      </c>
      <c r="K79" s="4">
        <f t="shared" si="8"/>
        <v>3.8341914744921546</v>
      </c>
    </row>
    <row r="80" spans="10:11">
      <c r="J80">
        <f t="shared" si="9"/>
        <v>1.1549999999999998</v>
      </c>
      <c r="K80" s="4">
        <f t="shared" si="8"/>
        <v>4.3023187345792024</v>
      </c>
    </row>
    <row r="81" spans="10:11">
      <c r="J81">
        <f t="shared" si="9"/>
        <v>1.1699999999999997</v>
      </c>
      <c r="K81" s="4">
        <f t="shared" si="8"/>
        <v>4.7815829750597061</v>
      </c>
    </row>
    <row r="82" spans="10:11">
      <c r="J82">
        <f t="shared" si="9"/>
        <v>1.1849999999999996</v>
      </c>
      <c r="K82" s="4">
        <f t="shared" si="8"/>
        <v>5.2719955043656341</v>
      </c>
    </row>
    <row r="83" spans="10:11">
      <c r="J83">
        <f t="shared" si="9"/>
        <v>1.1999999999999995</v>
      </c>
      <c r="K83" s="4">
        <f t="shared" si="8"/>
        <v>5.7735676424131022</v>
      </c>
    </row>
    <row r="84" spans="10:11">
      <c r="J84">
        <f t="shared" si="9"/>
        <v>1.2149999999999994</v>
      </c>
      <c r="K84" s="4">
        <f t="shared" ref="K84:K99" si="10">-$B$1*((1+$B$2*J84)-(1+$B$2)^(J84))</f>
        <v>6.2863107206112545</v>
      </c>
    </row>
    <row r="85" spans="10:11">
      <c r="J85">
        <f t="shared" ref="J85:J100" si="11">J84+0.015</f>
        <v>1.2299999999999993</v>
      </c>
      <c r="K85" s="4">
        <f t="shared" si="10"/>
        <v>6.8102360818755869</v>
      </c>
    </row>
    <row r="86" spans="10:11">
      <c r="J86">
        <f t="shared" si="11"/>
        <v>1.2449999999999992</v>
      </c>
      <c r="K86" s="4">
        <f t="shared" si="10"/>
        <v>7.3453550806412693</v>
      </c>
    </row>
    <row r="87" spans="10:11">
      <c r="J87">
        <f t="shared" si="11"/>
        <v>1.2599999999999991</v>
      </c>
      <c r="K87" s="4">
        <f t="shared" si="10"/>
        <v>7.8916790828631456</v>
      </c>
    </row>
    <row r="88" spans="10:11">
      <c r="J88">
        <f t="shared" si="11"/>
        <v>1.274999999999999</v>
      </c>
      <c r="K88" s="4">
        <f t="shared" si="10"/>
        <v>8.4492194660557018</v>
      </c>
    </row>
    <row r="89" spans="10:11">
      <c r="J89">
        <f t="shared" si="11"/>
        <v>1.2899999999999989</v>
      </c>
      <c r="K89" s="4">
        <f t="shared" si="10"/>
        <v>9.0179876192642006</v>
      </c>
    </row>
    <row r="90" spans="10:11">
      <c r="J90">
        <f t="shared" si="11"/>
        <v>1.3049999999999988</v>
      </c>
      <c r="K90" s="4">
        <f t="shared" si="10"/>
        <v>9.5979949431201916</v>
      </c>
    </row>
    <row r="91" spans="10:11">
      <c r="J91">
        <f t="shared" si="11"/>
        <v>1.3199999999999987</v>
      </c>
      <c r="K91" s="4">
        <f t="shared" si="10"/>
        <v>10.189252849805985</v>
      </c>
    </row>
    <row r="92" spans="10:11">
      <c r="J92">
        <f t="shared" si="11"/>
        <v>1.3349999999999986</v>
      </c>
      <c r="K92" s="4">
        <f t="shared" si="10"/>
        <v>10.791772763121266</v>
      </c>
    </row>
    <row r="93" spans="10:11">
      <c r="J93">
        <f t="shared" si="11"/>
        <v>1.3499999999999985</v>
      </c>
      <c r="K93" s="4">
        <f t="shared" si="10"/>
        <v>11.405566118440902</v>
      </c>
    </row>
    <row r="94" spans="10:11">
      <c r="J94">
        <f t="shared" si="11"/>
        <v>1.3649999999999984</v>
      </c>
      <c r="K94" s="4">
        <f t="shared" si="10"/>
        <v>12.030644362759357</v>
      </c>
    </row>
    <row r="95" spans="10:11">
      <c r="J95">
        <f t="shared" si="11"/>
        <v>1.3799999999999983</v>
      </c>
      <c r="K95" s="4">
        <f t="shared" si="10"/>
        <v>12.667018954699572</v>
      </c>
    </row>
    <row r="96" spans="10:11">
      <c r="J96">
        <f t="shared" si="11"/>
        <v>1.3949999999999982</v>
      </c>
      <c r="K96" s="4">
        <f t="shared" si="10"/>
        <v>13.31470136451296</v>
      </c>
    </row>
    <row r="97" spans="10:11">
      <c r="J97">
        <f t="shared" si="11"/>
        <v>1.4099999999999981</v>
      </c>
      <c r="K97" s="4">
        <f t="shared" si="10"/>
        <v>13.973703074101618</v>
      </c>
    </row>
    <row r="98" spans="10:11">
      <c r="J98">
        <f t="shared" si="11"/>
        <v>1.424999999999998</v>
      </c>
      <c r="K98" s="4">
        <f t="shared" si="10"/>
        <v>14.644035577022763</v>
      </c>
    </row>
    <row r="99" spans="10:11">
      <c r="J99">
        <f t="shared" si="11"/>
        <v>1.4399999999999979</v>
      </c>
      <c r="K99" s="4">
        <f t="shared" si="10"/>
        <v>15.325710378508717</v>
      </c>
    </row>
    <row r="100" spans="10:11">
      <c r="J100">
        <f t="shared" si="11"/>
        <v>1.4549999999999979</v>
      </c>
      <c r="K100" s="4">
        <f t="shared" ref="K100:K115" si="12">-$B$1*((1+$B$2*J100)-(1+$B$2)^(J100))</f>
        <v>16.018738995469128</v>
      </c>
    </row>
    <row r="101" spans="10:11">
      <c r="J101">
        <f t="shared" ref="J101:J116" si="13">J100+0.015</f>
        <v>1.4699999999999978</v>
      </c>
      <c r="K101" s="4">
        <f t="shared" si="12"/>
        <v>16.723132956508735</v>
      </c>
    </row>
    <row r="102" spans="10:11">
      <c r="J102">
        <f t="shared" si="13"/>
        <v>1.4849999999999977</v>
      </c>
      <c r="K102" s="4">
        <f t="shared" si="12"/>
        <v>17.438903801945127</v>
      </c>
    </row>
    <row r="103" spans="10:11">
      <c r="J103">
        <f t="shared" si="13"/>
        <v>1.4999999999999976</v>
      </c>
      <c r="K103" s="4">
        <f t="shared" si="12"/>
        <v>18.166063083804307</v>
      </c>
    </row>
    <row r="104" spans="10:11">
      <c r="J104">
        <f t="shared" si="13"/>
        <v>1.5149999999999975</v>
      </c>
      <c r="K104" s="4">
        <f t="shared" si="12"/>
        <v>18.904622365847334</v>
      </c>
    </row>
    <row r="105" spans="10:11">
      <c r="J105">
        <f t="shared" si="13"/>
        <v>1.5299999999999974</v>
      </c>
      <c r="K105" s="4">
        <f t="shared" si="12"/>
        <v>19.654593223576988</v>
      </c>
    </row>
    <row r="106" spans="10:11">
      <c r="J106">
        <f t="shared" si="13"/>
        <v>1.5449999999999973</v>
      </c>
      <c r="K106" s="4">
        <f t="shared" si="12"/>
        <v>20.415987244248868</v>
      </c>
    </row>
    <row r="107" spans="10:11">
      <c r="J107">
        <f t="shared" si="13"/>
        <v>1.5599999999999972</v>
      </c>
      <c r="K107" s="4">
        <f t="shared" si="12"/>
        <v>21.188816026882495</v>
      </c>
    </row>
    <row r="108" spans="10:11">
      <c r="J108">
        <f t="shared" si="13"/>
        <v>1.5749999999999971</v>
      </c>
      <c r="K108" s="4">
        <f t="shared" si="12"/>
        <v>21.973091182279081</v>
      </c>
    </row>
    <row r="109" spans="10:11">
      <c r="J109">
        <f t="shared" si="13"/>
        <v>1.589999999999997</v>
      </c>
      <c r="K109" s="4">
        <f t="shared" si="12"/>
        <v>22.768824333025961</v>
      </c>
    </row>
    <row r="110" spans="10:11">
      <c r="J110">
        <f t="shared" si="13"/>
        <v>1.6049999999999969</v>
      </c>
      <c r="K110" s="4">
        <f t="shared" si="12"/>
        <v>23.576027113514364</v>
      </c>
    </row>
    <row r="111" spans="10:11">
      <c r="J111">
        <f t="shared" si="13"/>
        <v>1.6199999999999968</v>
      </c>
      <c r="K111" s="4">
        <f t="shared" si="12"/>
        <v>24.394711169946071</v>
      </c>
    </row>
    <row r="112" spans="10:11">
      <c r="J112">
        <f t="shared" si="13"/>
        <v>1.6349999999999967</v>
      </c>
      <c r="K112" s="4">
        <f t="shared" si="12"/>
        <v>25.224888160348957</v>
      </c>
    </row>
    <row r="113" spans="10:11">
      <c r="J113">
        <f t="shared" si="13"/>
        <v>1.6499999999999966</v>
      </c>
      <c r="K113" s="4">
        <f t="shared" si="12"/>
        <v>26.066569754592539</v>
      </c>
    </row>
    <row r="114" spans="10:11">
      <c r="J114">
        <f t="shared" si="13"/>
        <v>1.6649999999999965</v>
      </c>
      <c r="K114" s="4">
        <f t="shared" si="12"/>
        <v>26.919767634392411</v>
      </c>
    </row>
    <row r="115" spans="10:11">
      <c r="J115">
        <f t="shared" si="13"/>
        <v>1.6799999999999964</v>
      </c>
      <c r="K115" s="4">
        <f t="shared" si="12"/>
        <v>27.78449349332357</v>
      </c>
    </row>
    <row r="116" spans="10:11">
      <c r="J116">
        <f t="shared" si="13"/>
        <v>1.6949999999999963</v>
      </c>
      <c r="K116" s="4">
        <f t="shared" ref="K116:K131" si="14">-$B$1*((1+$B$2*J116)-(1+$B$2)^(J116))</f>
        <v>28.660759036838179</v>
      </c>
    </row>
    <row r="117" spans="10:11">
      <c r="J117">
        <f t="shared" ref="J117:J132" si="15">J116+0.015</f>
        <v>1.7099999999999962</v>
      </c>
      <c r="K117" s="4">
        <f t="shared" si="14"/>
        <v>29.54857598227445</v>
      </c>
    </row>
    <row r="118" spans="10:11">
      <c r="J118">
        <f t="shared" si="15"/>
        <v>1.7249999999999961</v>
      </c>
      <c r="K118" s="4">
        <f t="shared" si="14"/>
        <v>30.447956058865522</v>
      </c>
    </row>
    <row r="119" spans="10:11">
      <c r="J119">
        <f t="shared" si="15"/>
        <v>1.739999999999996</v>
      </c>
      <c r="K119" s="4">
        <f t="shared" si="14"/>
        <v>31.358911007755008</v>
      </c>
    </row>
    <row r="120" spans="10:11">
      <c r="J120">
        <f t="shared" si="15"/>
        <v>1.7549999999999959</v>
      </c>
      <c r="K120" s="4">
        <f t="shared" si="14"/>
        <v>32.281452582010317</v>
      </c>
    </row>
    <row r="121" spans="10:11">
      <c r="J121">
        <f t="shared" si="15"/>
        <v>1.7699999999999958</v>
      </c>
      <c r="K121" s="4">
        <f t="shared" si="14"/>
        <v>33.215592546633758</v>
      </c>
    </row>
    <row r="122" spans="10:11">
      <c r="J122">
        <f t="shared" si="15"/>
        <v>1.7849999999999957</v>
      </c>
      <c r="K122" s="4">
        <f t="shared" si="14"/>
        <v>34.161342678566967</v>
      </c>
    </row>
    <row r="123" spans="10:11">
      <c r="J123">
        <f t="shared" si="15"/>
        <v>1.7999999999999956</v>
      </c>
      <c r="K123" s="4">
        <f t="shared" si="14"/>
        <v>35.118714766717574</v>
      </c>
    </row>
    <row r="124" spans="10:11">
      <c r="J124">
        <f t="shared" si="15"/>
        <v>1.8149999999999955</v>
      </c>
      <c r="K124" s="4">
        <f t="shared" si="14"/>
        <v>36.087720611961416</v>
      </c>
    </row>
    <row r="125" spans="10:11">
      <c r="J125">
        <f t="shared" si="15"/>
        <v>1.8299999999999954</v>
      </c>
      <c r="K125" s="4">
        <f t="shared" si="14"/>
        <v>37.068372027151412</v>
      </c>
    </row>
    <row r="126" spans="10:11">
      <c r="J126">
        <f t="shared" si="15"/>
        <v>1.8449999999999953</v>
      </c>
      <c r="K126" s="4">
        <f t="shared" si="14"/>
        <v>38.060680837146421</v>
      </c>
    </row>
    <row r="127" spans="10:11">
      <c r="J127">
        <f t="shared" si="15"/>
        <v>1.8599999999999952</v>
      </c>
      <c r="K127" s="4">
        <f t="shared" si="14"/>
        <v>39.064658878800174</v>
      </c>
    </row>
    <row r="128" spans="10:11">
      <c r="J128">
        <f t="shared" si="15"/>
        <v>1.8749999999999951</v>
      </c>
      <c r="K128" s="4">
        <f t="shared" si="14"/>
        <v>40.080318000992321</v>
      </c>
    </row>
    <row r="129" spans="10:11">
      <c r="J129">
        <f t="shared" si="15"/>
        <v>1.889999999999995</v>
      </c>
      <c r="K129" s="4">
        <f t="shared" si="14"/>
        <v>41.107670064635116</v>
      </c>
    </row>
    <row r="130" spans="10:11">
      <c r="J130">
        <f t="shared" si="15"/>
        <v>1.9049999999999949</v>
      </c>
      <c r="K130" s="4">
        <f t="shared" si="14"/>
        <v>42.146726942675627</v>
      </c>
    </row>
    <row r="131" spans="10:11">
      <c r="J131">
        <f t="shared" si="15"/>
        <v>1.9199999999999948</v>
      </c>
      <c r="K131" s="4">
        <f t="shared" si="14"/>
        <v>43.197500520129054</v>
      </c>
    </row>
    <row r="132" spans="10:11">
      <c r="J132">
        <f t="shared" si="15"/>
        <v>1.9349999999999947</v>
      </c>
      <c r="K132" s="4">
        <f t="shared" ref="K132:K147" si="16">-$B$1*((1+$B$2*J132)-(1+$B$2)^(J132))</f>
        <v>44.260002694069826</v>
      </c>
    </row>
    <row r="133" spans="10:11">
      <c r="J133">
        <f t="shared" ref="J133:J148" si="17">J132+0.015</f>
        <v>1.9499999999999946</v>
      </c>
      <c r="K133" s="4">
        <f t="shared" si="16"/>
        <v>45.334245373651605</v>
      </c>
    </row>
    <row r="134" spans="10:11">
      <c r="J134">
        <f t="shared" si="17"/>
        <v>1.9649999999999945</v>
      </c>
      <c r="K134" s="4">
        <f t="shared" si="16"/>
        <v>46.420240480129493</v>
      </c>
    </row>
    <row r="135" spans="10:11">
      <c r="J135">
        <f t="shared" si="17"/>
        <v>1.9799999999999944</v>
      </c>
      <c r="K135" s="4">
        <f t="shared" si="16"/>
        <v>47.517999946853351</v>
      </c>
    </row>
    <row r="136" spans="10:11">
      <c r="J136">
        <f t="shared" si="17"/>
        <v>1.9949999999999943</v>
      </c>
      <c r="K136" s="4">
        <f t="shared" si="16"/>
        <v>48.627535719296674</v>
      </c>
    </row>
    <row r="137" spans="10:11">
      <c r="J137">
        <f t="shared" si="17"/>
        <v>2.0099999999999945</v>
      </c>
      <c r="K137" s="4">
        <f t="shared" si="16"/>
        <v>49.748859755061048</v>
      </c>
    </row>
    <row r="138" spans="10:11">
      <c r="J138">
        <f t="shared" si="17"/>
        <v>2.0249999999999946</v>
      </c>
      <c r="K138" s="4">
        <f t="shared" si="16"/>
        <v>50.881984023884996</v>
      </c>
    </row>
    <row r="139" spans="10:11">
      <c r="J139">
        <f t="shared" si="17"/>
        <v>2.0399999999999947</v>
      </c>
      <c r="K139" s="4">
        <f t="shared" si="16"/>
        <v>52.026920507668436</v>
      </c>
    </row>
    <row r="140" spans="10:11">
      <c r="J140">
        <f t="shared" si="17"/>
        <v>2.0549999999999948</v>
      </c>
      <c r="K140" s="4">
        <f t="shared" si="16"/>
        <v>53.183681200472677</v>
      </c>
    </row>
    <row r="141" spans="10:11">
      <c r="J141">
        <f t="shared" si="17"/>
        <v>2.069999999999995</v>
      </c>
      <c r="K141" s="4">
        <f t="shared" si="16"/>
        <v>54.352278108538158</v>
      </c>
    </row>
    <row r="142" spans="10:11">
      <c r="J142">
        <f t="shared" si="17"/>
        <v>2.0849999999999951</v>
      </c>
      <c r="K142" s="4">
        <f t="shared" si="16"/>
        <v>55.532723250300009</v>
      </c>
    </row>
    <row r="143" spans="10:11">
      <c r="J143">
        <f t="shared" si="17"/>
        <v>2.0999999999999952</v>
      </c>
      <c r="K143" s="4">
        <f t="shared" si="16"/>
        <v>56.725028656390286</v>
      </c>
    </row>
    <row r="144" spans="10:11">
      <c r="J144">
        <f t="shared" si="17"/>
        <v>2.1149999999999953</v>
      </c>
      <c r="K144" s="4">
        <f t="shared" si="16"/>
        <v>57.929206369666808</v>
      </c>
    </row>
    <row r="145" spans="10:11">
      <c r="J145">
        <f t="shared" si="17"/>
        <v>2.1299999999999955</v>
      </c>
      <c r="K145" s="4">
        <f t="shared" si="16"/>
        <v>59.14526844520207</v>
      </c>
    </row>
    <row r="146" spans="10:11">
      <c r="J146">
        <f t="shared" si="17"/>
        <v>2.1449999999999956</v>
      </c>
      <c r="K146" s="4">
        <f t="shared" si="16"/>
        <v>60.373226950323215</v>
      </c>
    </row>
    <row r="147" spans="10:11">
      <c r="J147">
        <f t="shared" si="17"/>
        <v>2.1599999999999957</v>
      </c>
      <c r="K147" s="4">
        <f t="shared" si="16"/>
        <v>61.613093964600907</v>
      </c>
    </row>
    <row r="148" spans="10:11">
      <c r="J148">
        <f t="shared" si="17"/>
        <v>2.1749999999999958</v>
      </c>
      <c r="K148" s="4">
        <f t="shared" ref="K148:K163" si="18">-$B$1*((1+$B$2*J148)-(1+$B$2)^(J148))</f>
        <v>62.86488157987602</v>
      </c>
    </row>
    <row r="149" spans="10:11">
      <c r="J149">
        <f t="shared" ref="J149:J164" si="19">J148+0.015</f>
        <v>2.1899999999999959</v>
      </c>
      <c r="K149" s="4">
        <f t="shared" si="18"/>
        <v>64.128601900266261</v>
      </c>
    </row>
    <row r="150" spans="10:11">
      <c r="J150">
        <f t="shared" si="19"/>
        <v>2.2049999999999961</v>
      </c>
      <c r="K150" s="4">
        <f t="shared" si="18"/>
        <v>65.404267042177281</v>
      </c>
    </row>
    <row r="151" spans="10:11">
      <c r="J151">
        <f t="shared" si="19"/>
        <v>2.2199999999999962</v>
      </c>
      <c r="K151" s="4">
        <f t="shared" si="18"/>
        <v>66.691889134320448</v>
      </c>
    </row>
    <row r="152" spans="10:11">
      <c r="J152">
        <f t="shared" si="19"/>
        <v>2.2349999999999963</v>
      </c>
      <c r="K152" s="4">
        <f t="shared" si="18"/>
        <v>67.991480317723955</v>
      </c>
    </row>
    <row r="153" spans="10:11">
      <c r="J153">
        <f t="shared" si="19"/>
        <v>2.2499999999999964</v>
      </c>
      <c r="K153" s="4">
        <f t="shared" si="18"/>
        <v>69.30305274573945</v>
      </c>
    </row>
    <row r="154" spans="10:11">
      <c r="J154">
        <f t="shared" si="19"/>
        <v>2.2649999999999966</v>
      </c>
      <c r="K154" s="4">
        <f t="shared" si="18"/>
        <v>70.626618584062044</v>
      </c>
    </row>
    <row r="155" spans="10:11">
      <c r="J155">
        <f t="shared" si="19"/>
        <v>2.2799999999999967</v>
      </c>
      <c r="K155" s="4">
        <f t="shared" si="18"/>
        <v>71.962190010739221</v>
      </c>
    </row>
    <row r="156" spans="10:11">
      <c r="J156">
        <f t="shared" si="19"/>
        <v>2.2949999999999968</v>
      </c>
      <c r="K156" s="4">
        <f t="shared" si="18"/>
        <v>73.309779216186314</v>
      </c>
    </row>
    <row r="157" spans="10:11">
      <c r="J157">
        <f t="shared" si="19"/>
        <v>2.3099999999999969</v>
      </c>
      <c r="K157" s="4">
        <f t="shared" si="18"/>
        <v>74.669398403190982</v>
      </c>
    </row>
    <row r="158" spans="10:11">
      <c r="J158">
        <f t="shared" si="19"/>
        <v>2.3249999999999971</v>
      </c>
      <c r="K158" s="4">
        <f t="shared" si="18"/>
        <v>76.041059786939869</v>
      </c>
    </row>
    <row r="159" spans="10:11">
      <c r="J159">
        <f t="shared" si="19"/>
        <v>2.3399999999999972</v>
      </c>
      <c r="K159" s="4">
        <f t="shared" si="18"/>
        <v>77.424775595011937</v>
      </c>
    </row>
    <row r="160" spans="10:11">
      <c r="J160">
        <f t="shared" si="19"/>
        <v>2.3549999999999973</v>
      </c>
      <c r="K160" s="4">
        <f t="shared" si="18"/>
        <v>78.820558067409507</v>
      </c>
    </row>
    <row r="161" spans="10:11">
      <c r="J161">
        <f t="shared" si="19"/>
        <v>2.3699999999999974</v>
      </c>
      <c r="K161" s="4">
        <f t="shared" si="18"/>
        <v>80.228419456569441</v>
      </c>
    </row>
    <row r="162" spans="10:11">
      <c r="J162">
        <f t="shared" si="19"/>
        <v>2.3849999999999976</v>
      </c>
      <c r="K162" s="4">
        <f t="shared" si="18"/>
        <v>81.648372027349751</v>
      </c>
    </row>
    <row r="163" spans="10:11">
      <c r="J163">
        <f t="shared" si="19"/>
        <v>2.3999999999999977</v>
      </c>
      <c r="K163" s="4">
        <f t="shared" si="18"/>
        <v>83.080428057085157</v>
      </c>
    </row>
    <row r="164" spans="10:11">
      <c r="J164">
        <f t="shared" si="19"/>
        <v>2.4149999999999978</v>
      </c>
      <c r="K164" s="4">
        <f t="shared" ref="K164:K179" si="20">-$B$1*((1+$B$2*J164)-(1+$B$2)^(J164))</f>
        <v>84.52459983556038</v>
      </c>
    </row>
    <row r="165" spans="10:11">
      <c r="J165">
        <f t="shared" ref="J165:J180" si="21">J164+0.015</f>
        <v>2.4299999999999979</v>
      </c>
      <c r="K165" s="4">
        <f t="shared" si="20"/>
        <v>85.98089966504574</v>
      </c>
    </row>
    <row r="166" spans="10:11">
      <c r="J166">
        <f t="shared" si="21"/>
        <v>2.4449999999999981</v>
      </c>
      <c r="K166" s="4">
        <f t="shared" si="20"/>
        <v>87.44933986030378</v>
      </c>
    </row>
    <row r="167" spans="10:11">
      <c r="J167">
        <f t="shared" si="21"/>
        <v>2.4599999999999982</v>
      </c>
      <c r="K167" s="4">
        <f t="shared" si="20"/>
        <v>88.929932748598176</v>
      </c>
    </row>
    <row r="168" spans="10:11">
      <c r="J168">
        <f t="shared" si="21"/>
        <v>2.4749999999999983</v>
      </c>
      <c r="K168" s="4">
        <f t="shared" si="20"/>
        <v>90.422690669713646</v>
      </c>
    </row>
    <row r="169" spans="10:11">
      <c r="J169">
        <f t="shared" si="21"/>
        <v>2.4899999999999984</v>
      </c>
      <c r="K169" s="4">
        <f t="shared" si="20"/>
        <v>91.927625975960495</v>
      </c>
    </row>
    <row r="170" spans="10:11">
      <c r="J170">
        <f t="shared" si="21"/>
        <v>2.5049999999999986</v>
      </c>
      <c r="K170" s="4">
        <f t="shared" si="20"/>
        <v>93.4447510321923</v>
      </c>
    </row>
    <row r="171" spans="10:11">
      <c r="J171">
        <f t="shared" si="21"/>
        <v>2.5199999999999987</v>
      </c>
      <c r="K171" s="4">
        <f t="shared" si="20"/>
        <v>94.974078215821493</v>
      </c>
    </row>
    <row r="172" spans="10:11">
      <c r="J172">
        <f t="shared" si="21"/>
        <v>2.5349999999999988</v>
      </c>
      <c r="K172" s="4">
        <f t="shared" si="20"/>
        <v>96.51561991682378</v>
      </c>
    </row>
    <row r="173" spans="10:11">
      <c r="J173">
        <f t="shared" si="21"/>
        <v>2.5499999999999989</v>
      </c>
      <c r="K173" s="4">
        <f t="shared" si="20"/>
        <v>98.069388537758158</v>
      </c>
    </row>
    <row r="174" spans="10:11">
      <c r="J174">
        <f t="shared" si="21"/>
        <v>2.5649999999999991</v>
      </c>
      <c r="K174" s="4">
        <f t="shared" si="20"/>
        <v>99.635396493777947</v>
      </c>
    </row>
    <row r="175" spans="10:11">
      <c r="J175">
        <f t="shared" si="21"/>
        <v>2.5799999999999992</v>
      </c>
      <c r="K175" s="4">
        <f t="shared" si="20"/>
        <v>101.21365621264201</v>
      </c>
    </row>
    <row r="176" spans="10:11">
      <c r="J176">
        <f t="shared" si="21"/>
        <v>2.5949999999999993</v>
      </c>
      <c r="K176" s="4">
        <f t="shared" si="20"/>
        <v>102.8041801347257</v>
      </c>
    </row>
    <row r="177" spans="10:11">
      <c r="J177">
        <f t="shared" si="21"/>
        <v>2.6099999999999994</v>
      </c>
      <c r="K177" s="4">
        <f t="shared" si="20"/>
        <v>104.40698071303656</v>
      </c>
    </row>
    <row r="178" spans="10:11">
      <c r="J178">
        <f t="shared" si="21"/>
        <v>2.6249999999999996</v>
      </c>
      <c r="K178" s="4">
        <f t="shared" si="20"/>
        <v>106.02207041323197</v>
      </c>
    </row>
    <row r="179" spans="10:11">
      <c r="J179">
        <f t="shared" si="21"/>
        <v>2.6399999999999997</v>
      </c>
      <c r="K179" s="4">
        <f t="shared" si="20"/>
        <v>107.64946171362367</v>
      </c>
    </row>
    <row r="180" spans="10:11">
      <c r="J180">
        <f t="shared" si="21"/>
        <v>2.6549999999999998</v>
      </c>
      <c r="K180" s="4">
        <f>-$B$1*((1+$B$2*J180)-(1+$B$2)^(J180))</f>
        <v>109.2891671051932</v>
      </c>
    </row>
    <row r="181" spans="10:11">
      <c r="J181">
        <f>J180+0.015</f>
        <v>2.67</v>
      </c>
      <c r="K181" s="4">
        <f>-$B$1*((1+$B$2*J181)-(1+$B$2)^(J181))</f>
        <v>110.94119909160538</v>
      </c>
    </row>
    <row r="182" spans="10:11">
      <c r="J182">
        <f>J181+0.015</f>
        <v>2.6850000000000001</v>
      </c>
      <c r="K182" s="4">
        <f>-$B$1*((1+$B$2*J182)-(1+$B$2)^(J182))</f>
        <v>112.60557018922145</v>
      </c>
    </row>
    <row r="183" spans="10:11">
      <c r="J183">
        <f>J182+0.015</f>
        <v>2.7</v>
      </c>
      <c r="K183" s="4">
        <f>-$B$1*((1+$B$2*J183)-(1+$B$2)^(J183))</f>
        <v>114.28229292711035</v>
      </c>
    </row>
  </sheetData>
  <phoneticPr fontId="0" type="noConversion"/>
  <printOptions gridLinesSet="0"/>
  <pageMargins left="0.78740157499999996" right="0.78740157499999996" top="0.984251969" bottom="0.984251969" header="0.51181102300000003" footer="0.51181102300000003"/>
  <pageSetup paperSize="9" orientation="portrait" horizontalDpi="4294967292" verticalDpi="300" r:id="rId1"/>
  <headerFooter alignWithMargins="0">
    <oddHeader>&amp;C&amp;F      &amp;A</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workbookViewId="0">
      <selection activeCell="C4" sqref="C4"/>
    </sheetView>
  </sheetViews>
  <sheetFormatPr baseColWidth="10" defaultRowHeight="12.75"/>
  <cols>
    <col min="1" max="1" width="13.140625" style="296" customWidth="1"/>
    <col min="2" max="2" width="11.85546875" style="296" customWidth="1"/>
    <col min="3" max="16384" width="11.42578125" style="296"/>
  </cols>
  <sheetData>
    <row r="1" spans="1:21">
      <c r="A1" s="304" t="s">
        <v>361</v>
      </c>
      <c r="B1" s="301"/>
      <c r="C1" s="301"/>
      <c r="D1" s="301"/>
      <c r="E1" s="301"/>
      <c r="F1" s="301"/>
      <c r="G1" s="301"/>
      <c r="H1" s="301"/>
      <c r="I1" s="301"/>
      <c r="J1" s="301"/>
      <c r="K1" s="301"/>
      <c r="L1" s="301"/>
      <c r="M1" s="301"/>
      <c r="N1" s="301"/>
      <c r="O1" s="301"/>
      <c r="P1" s="301"/>
      <c r="Q1" s="301"/>
      <c r="R1" s="301"/>
      <c r="S1" s="301"/>
      <c r="T1" s="301"/>
    </row>
    <row r="2" spans="1:21">
      <c r="A2" s="301"/>
      <c r="B2" s="301"/>
      <c r="C2" s="301"/>
      <c r="D2" s="301"/>
      <c r="E2" s="301"/>
      <c r="F2" s="301"/>
      <c r="G2" s="301"/>
      <c r="H2" s="301"/>
      <c r="I2" s="301"/>
      <c r="J2" s="301"/>
      <c r="K2" s="301"/>
      <c r="L2" s="301"/>
      <c r="M2" s="301"/>
      <c r="N2" s="301"/>
      <c r="O2" s="301"/>
      <c r="P2" s="301"/>
      <c r="Q2" s="301"/>
      <c r="R2" s="301"/>
      <c r="S2" s="301"/>
      <c r="T2" s="301"/>
    </row>
    <row r="3" spans="1:21">
      <c r="A3" s="301" t="s">
        <v>368</v>
      </c>
      <c r="B3" s="301"/>
      <c r="C3" s="306" t="s">
        <v>367</v>
      </c>
      <c r="D3" s="306" t="s">
        <v>35</v>
      </c>
      <c r="E3" s="306" t="s">
        <v>367</v>
      </c>
      <c r="F3" s="306" t="s">
        <v>35</v>
      </c>
      <c r="G3" s="301"/>
      <c r="H3" s="301"/>
      <c r="I3" s="301"/>
      <c r="J3" s="301"/>
      <c r="K3" s="301"/>
      <c r="L3" s="301"/>
      <c r="M3" s="301"/>
      <c r="N3" s="301"/>
      <c r="O3" s="301"/>
      <c r="P3" s="301"/>
      <c r="Q3" s="301"/>
      <c r="R3" s="301"/>
      <c r="S3" s="301"/>
      <c r="T3" s="301"/>
    </row>
    <row r="4" spans="1:21">
      <c r="A4" s="301" t="s">
        <v>360</v>
      </c>
      <c r="B4" s="301"/>
      <c r="C4" s="300">
        <v>1.4999999999999999E-2</v>
      </c>
      <c r="D4" s="300">
        <v>1.4999999999999999E-2</v>
      </c>
      <c r="E4" s="300">
        <v>5.5E-2</v>
      </c>
      <c r="F4" s="299">
        <v>5.5E-2</v>
      </c>
      <c r="G4" s="301"/>
      <c r="H4" s="301"/>
      <c r="I4" s="301"/>
      <c r="J4" s="301"/>
      <c r="K4" s="301"/>
      <c r="L4" s="301"/>
      <c r="M4" s="301"/>
      <c r="N4" s="301"/>
      <c r="O4" s="301"/>
      <c r="P4" s="301"/>
      <c r="Q4" s="301"/>
      <c r="R4" s="301"/>
      <c r="S4" s="301"/>
      <c r="T4" s="301"/>
    </row>
    <row r="5" spans="1:21">
      <c r="A5" s="301" t="s">
        <v>31</v>
      </c>
      <c r="B5" s="305">
        <v>10000</v>
      </c>
      <c r="C5" s="301"/>
      <c r="D5" s="301"/>
      <c r="E5" s="301"/>
      <c r="F5" s="301"/>
      <c r="G5" s="301"/>
      <c r="H5" s="301"/>
      <c r="I5" s="301"/>
      <c r="J5" s="301"/>
      <c r="K5" s="301"/>
      <c r="L5" s="301"/>
      <c r="M5" s="301"/>
      <c r="N5" s="301"/>
      <c r="O5" s="301"/>
      <c r="P5" s="301"/>
      <c r="Q5" s="301"/>
      <c r="R5" s="301"/>
      <c r="S5" s="301"/>
      <c r="T5" s="301"/>
    </row>
    <row r="6" spans="1:21">
      <c r="A6" s="301"/>
      <c r="B6" s="301"/>
      <c r="C6" s="301"/>
      <c r="D6" s="301"/>
      <c r="E6" s="301"/>
      <c r="F6" s="301"/>
      <c r="G6" s="301"/>
      <c r="H6" s="301"/>
      <c r="I6" s="301"/>
      <c r="J6" s="301"/>
      <c r="K6" s="301"/>
      <c r="L6" s="301"/>
      <c r="M6" s="301"/>
      <c r="N6" s="301"/>
      <c r="O6" s="301"/>
      <c r="P6" s="301"/>
      <c r="Q6" s="301"/>
      <c r="R6" s="301"/>
      <c r="S6" s="301"/>
      <c r="T6" s="301"/>
    </row>
    <row r="7" spans="1:21">
      <c r="A7" s="301"/>
      <c r="B7" s="301"/>
      <c r="C7" s="304" t="s">
        <v>369</v>
      </c>
      <c r="D7" s="301"/>
      <c r="E7" s="301"/>
      <c r="F7" s="301"/>
      <c r="G7" s="301"/>
      <c r="H7" s="301"/>
      <c r="I7" s="301"/>
      <c r="J7" s="301"/>
      <c r="K7" s="301"/>
      <c r="L7" s="301"/>
      <c r="M7" s="301"/>
      <c r="N7" s="301"/>
      <c r="O7" s="301"/>
      <c r="P7" s="301"/>
      <c r="Q7" s="301"/>
      <c r="R7" s="301"/>
      <c r="S7" s="301"/>
      <c r="T7" s="301"/>
    </row>
    <row r="8" spans="1:21">
      <c r="A8" s="301"/>
      <c r="B8" s="306" t="s">
        <v>32</v>
      </c>
      <c r="C8" s="301">
        <v>0</v>
      </c>
      <c r="D8" s="301">
        <v>1</v>
      </c>
      <c r="E8" s="301">
        <v>2</v>
      </c>
      <c r="F8" s="301">
        <v>4</v>
      </c>
      <c r="G8" s="301">
        <v>6</v>
      </c>
      <c r="H8" s="301">
        <v>8</v>
      </c>
      <c r="I8" s="301">
        <v>10</v>
      </c>
      <c r="J8" s="301">
        <v>12</v>
      </c>
      <c r="K8" s="301">
        <v>14</v>
      </c>
      <c r="L8" s="301">
        <v>16</v>
      </c>
      <c r="M8" s="301">
        <v>18</v>
      </c>
      <c r="N8" s="301">
        <v>20</v>
      </c>
      <c r="O8" s="301">
        <v>22</v>
      </c>
      <c r="P8" s="301">
        <v>24</v>
      </c>
      <c r="Q8" s="301">
        <v>26</v>
      </c>
      <c r="R8" s="301">
        <v>28</v>
      </c>
      <c r="S8" s="301">
        <v>30</v>
      </c>
      <c r="T8" s="301"/>
    </row>
    <row r="9" spans="1:21">
      <c r="A9" s="302">
        <f>C4</f>
        <v>1.4999999999999999E-2</v>
      </c>
      <c r="B9" s="302" t="s">
        <v>156</v>
      </c>
      <c r="C9" s="303">
        <f>$B$5*(1+$C4)^C$8</f>
        <v>10000</v>
      </c>
      <c r="D9" s="303">
        <f>$B$5*(1+$C4)^D$8</f>
        <v>10149.999999999998</v>
      </c>
      <c r="E9" s="303">
        <f t="shared" ref="E9:S9" si="0">$C$9*(1+E8*$C$4)</f>
        <v>10300</v>
      </c>
      <c r="F9" s="303">
        <f t="shared" si="0"/>
        <v>10600</v>
      </c>
      <c r="G9" s="303">
        <f t="shared" si="0"/>
        <v>10900</v>
      </c>
      <c r="H9" s="303">
        <f t="shared" si="0"/>
        <v>11200.000000000002</v>
      </c>
      <c r="I9" s="303">
        <f t="shared" si="0"/>
        <v>11500</v>
      </c>
      <c r="J9" s="303">
        <f t="shared" si="0"/>
        <v>11800</v>
      </c>
      <c r="K9" s="303">
        <f t="shared" si="0"/>
        <v>12100</v>
      </c>
      <c r="L9" s="303">
        <f t="shared" si="0"/>
        <v>12400</v>
      </c>
      <c r="M9" s="303">
        <f t="shared" si="0"/>
        <v>12700</v>
      </c>
      <c r="N9" s="303">
        <f t="shared" si="0"/>
        <v>13000</v>
      </c>
      <c r="O9" s="303">
        <f t="shared" si="0"/>
        <v>13300</v>
      </c>
      <c r="P9" s="303">
        <f t="shared" si="0"/>
        <v>13599.999999999998</v>
      </c>
      <c r="Q9" s="303">
        <f t="shared" si="0"/>
        <v>13900.000000000002</v>
      </c>
      <c r="R9" s="303">
        <f t="shared" si="0"/>
        <v>14200</v>
      </c>
      <c r="S9" s="303">
        <f t="shared" si="0"/>
        <v>14500</v>
      </c>
      <c r="T9" s="301"/>
    </row>
    <row r="10" spans="1:21">
      <c r="A10" s="302">
        <f>D4</f>
        <v>1.4999999999999999E-2</v>
      </c>
      <c r="B10" s="302" t="s">
        <v>35</v>
      </c>
      <c r="C10" s="303">
        <v>10000</v>
      </c>
      <c r="D10" s="303">
        <f t="shared" ref="D10:S10" si="1">$C$10*(1+$D$4)^D8</f>
        <v>10149.999999999998</v>
      </c>
      <c r="E10" s="303">
        <f t="shared" si="1"/>
        <v>10302.249999999996</v>
      </c>
      <c r="F10" s="303">
        <f t="shared" si="1"/>
        <v>10613.635506249995</v>
      </c>
      <c r="G10" s="303">
        <f t="shared" si="1"/>
        <v>10934.432639426397</v>
      </c>
      <c r="H10" s="303">
        <f t="shared" si="1"/>
        <v>11264.925865953057</v>
      </c>
      <c r="I10" s="303">
        <f t="shared" si="1"/>
        <v>11605.408250251485</v>
      </c>
      <c r="J10" s="303">
        <f t="shared" si="1"/>
        <v>11956.181714615333</v>
      </c>
      <c r="K10" s="303">
        <f t="shared" si="1"/>
        <v>12317.557306939578</v>
      </c>
      <c r="L10" s="303">
        <f t="shared" si="1"/>
        <v>12689.855476541823</v>
      </c>
      <c r="M10" s="303">
        <f t="shared" si="1"/>
        <v>13073.406358320297</v>
      </c>
      <c r="N10" s="303">
        <f t="shared" si="1"/>
        <v>13468.550065500522</v>
      </c>
      <c r="O10" s="303">
        <f t="shared" si="1"/>
        <v>13875.636991230271</v>
      </c>
      <c r="P10" s="303">
        <f t="shared" si="1"/>
        <v>14295.028119290202</v>
      </c>
      <c r="Q10" s="303">
        <f t="shared" si="1"/>
        <v>14727.095344195746</v>
      </c>
      <c r="R10" s="303">
        <f t="shared" si="1"/>
        <v>15172.221800974057</v>
      </c>
      <c r="S10" s="303">
        <f t="shared" si="1"/>
        <v>15630.802204908494</v>
      </c>
      <c r="T10" s="301"/>
    </row>
    <row r="11" spans="1:21">
      <c r="A11" s="302">
        <f>E4</f>
        <v>5.5E-2</v>
      </c>
      <c r="B11" s="302" t="s">
        <v>156</v>
      </c>
      <c r="C11" s="303">
        <f>$B$5*(1+$E4)^C$8</f>
        <v>10000</v>
      </c>
      <c r="D11" s="303">
        <f t="shared" ref="D11:S11" si="2">$B$5*(1+$E4*D$8)</f>
        <v>10550</v>
      </c>
      <c r="E11" s="303">
        <f t="shared" si="2"/>
        <v>11100.000000000002</v>
      </c>
      <c r="F11" s="303">
        <f t="shared" si="2"/>
        <v>12200</v>
      </c>
      <c r="G11" s="303">
        <f t="shared" si="2"/>
        <v>13300</v>
      </c>
      <c r="H11" s="303">
        <f t="shared" si="2"/>
        <v>14400</v>
      </c>
      <c r="I11" s="303">
        <f t="shared" si="2"/>
        <v>15500</v>
      </c>
      <c r="J11" s="303">
        <f t="shared" si="2"/>
        <v>16600</v>
      </c>
      <c r="K11" s="303">
        <f t="shared" si="2"/>
        <v>17700</v>
      </c>
      <c r="L11" s="303">
        <f t="shared" si="2"/>
        <v>18800</v>
      </c>
      <c r="M11" s="303">
        <f t="shared" si="2"/>
        <v>19900</v>
      </c>
      <c r="N11" s="303">
        <f t="shared" si="2"/>
        <v>21000</v>
      </c>
      <c r="O11" s="303">
        <f t="shared" si="2"/>
        <v>22100</v>
      </c>
      <c r="P11" s="303">
        <f t="shared" si="2"/>
        <v>23200.000000000004</v>
      </c>
      <c r="Q11" s="303">
        <f t="shared" si="2"/>
        <v>24299.999999999996</v>
      </c>
      <c r="R11" s="303">
        <f t="shared" si="2"/>
        <v>25400</v>
      </c>
      <c r="S11" s="303">
        <f t="shared" si="2"/>
        <v>26500</v>
      </c>
      <c r="T11" s="301"/>
    </row>
    <row r="12" spans="1:21">
      <c r="A12" s="302">
        <f>F4</f>
        <v>5.5E-2</v>
      </c>
      <c r="B12" s="302" t="s">
        <v>362</v>
      </c>
      <c r="C12" s="303">
        <f>$B$5*(1+$F4)^C$8</f>
        <v>10000</v>
      </c>
      <c r="D12" s="303">
        <f t="shared" ref="D12:S12" si="3">$B$5*(1+$F$4)^D8</f>
        <v>10550</v>
      </c>
      <c r="E12" s="303">
        <f t="shared" si="3"/>
        <v>11130.25</v>
      </c>
      <c r="F12" s="303">
        <f t="shared" si="3"/>
        <v>12388.246506249998</v>
      </c>
      <c r="G12" s="303">
        <f t="shared" si="3"/>
        <v>13788.428067618903</v>
      </c>
      <c r="H12" s="303">
        <f t="shared" si="3"/>
        <v>15346.865149961528</v>
      </c>
      <c r="I12" s="303">
        <f t="shared" si="3"/>
        <v>17081.444583535929</v>
      </c>
      <c r="J12" s="303">
        <f t="shared" si="3"/>
        <v>19012.074857590076</v>
      </c>
      <c r="K12" s="303">
        <f t="shared" si="3"/>
        <v>21160.914618369192</v>
      </c>
      <c r="L12" s="303">
        <f t="shared" si="3"/>
        <v>23552.626993110367</v>
      </c>
      <c r="M12" s="303">
        <f t="shared" si="3"/>
        <v>26214.662659006666</v>
      </c>
      <c r="N12" s="303">
        <f t="shared" si="3"/>
        <v>29177.574906040893</v>
      </c>
      <c r="O12" s="303">
        <f t="shared" si="3"/>
        <v>32475.370309796162</v>
      </c>
      <c r="P12" s="303">
        <f t="shared" si="3"/>
        <v>36145.899039060867</v>
      </c>
      <c r="Q12" s="303">
        <f t="shared" si="3"/>
        <v>40231.289277950724</v>
      </c>
      <c r="R12" s="303">
        <f t="shared" si="3"/>
        <v>44778.430748591098</v>
      </c>
      <c r="S12" s="303">
        <f t="shared" si="3"/>
        <v>49839.5128839506</v>
      </c>
      <c r="T12" s="301"/>
      <c r="U12" s="298"/>
    </row>
    <row r="13" spans="1:21">
      <c r="A13" s="301"/>
      <c r="B13" s="301"/>
      <c r="C13" s="301"/>
      <c r="D13" s="301"/>
      <c r="E13" s="301"/>
      <c r="F13" s="301"/>
      <c r="G13" s="301"/>
      <c r="H13" s="301"/>
      <c r="I13" s="301"/>
      <c r="J13" s="301"/>
      <c r="K13" s="301"/>
      <c r="L13" s="301"/>
      <c r="M13" s="301"/>
      <c r="N13" s="301"/>
      <c r="O13" s="301"/>
      <c r="P13" s="301"/>
      <c r="Q13" s="301"/>
      <c r="R13" s="301"/>
      <c r="S13" s="303"/>
      <c r="T13" s="301"/>
    </row>
    <row r="14" spans="1:21">
      <c r="A14" s="301"/>
      <c r="B14" s="301"/>
      <c r="C14" s="301"/>
      <c r="D14" s="301"/>
      <c r="E14" s="301"/>
      <c r="F14" s="301"/>
      <c r="G14" s="301"/>
      <c r="H14" s="301"/>
      <c r="I14" s="301"/>
      <c r="J14" s="301"/>
      <c r="K14" s="301"/>
      <c r="L14" s="301"/>
      <c r="M14" s="301"/>
      <c r="N14" s="301"/>
      <c r="O14" s="301"/>
      <c r="P14" s="301"/>
      <c r="Q14" s="301"/>
      <c r="R14" s="301"/>
      <c r="S14" s="303"/>
      <c r="T14" s="301"/>
    </row>
    <row r="15" spans="1:21">
      <c r="A15" s="301"/>
      <c r="B15" s="301"/>
      <c r="C15" s="301">
        <f t="shared" ref="C15:S15" si="4">C8</f>
        <v>0</v>
      </c>
      <c r="D15" s="301">
        <f t="shared" si="4"/>
        <v>1</v>
      </c>
      <c r="E15" s="301">
        <f t="shared" si="4"/>
        <v>2</v>
      </c>
      <c r="F15" s="301">
        <f t="shared" si="4"/>
        <v>4</v>
      </c>
      <c r="G15" s="301">
        <f t="shared" si="4"/>
        <v>6</v>
      </c>
      <c r="H15" s="301">
        <f t="shared" si="4"/>
        <v>8</v>
      </c>
      <c r="I15" s="301">
        <f t="shared" si="4"/>
        <v>10</v>
      </c>
      <c r="J15" s="301">
        <f t="shared" si="4"/>
        <v>12</v>
      </c>
      <c r="K15" s="301">
        <f t="shared" si="4"/>
        <v>14</v>
      </c>
      <c r="L15" s="301">
        <f t="shared" si="4"/>
        <v>16</v>
      </c>
      <c r="M15" s="301">
        <f t="shared" si="4"/>
        <v>18</v>
      </c>
      <c r="N15" s="301">
        <f t="shared" si="4"/>
        <v>20</v>
      </c>
      <c r="O15" s="301">
        <f t="shared" si="4"/>
        <v>22</v>
      </c>
      <c r="P15" s="301">
        <f t="shared" si="4"/>
        <v>24</v>
      </c>
      <c r="Q15" s="301">
        <f t="shared" si="4"/>
        <v>26</v>
      </c>
      <c r="R15" s="301">
        <f t="shared" si="4"/>
        <v>28</v>
      </c>
      <c r="S15" s="303">
        <f t="shared" si="4"/>
        <v>30</v>
      </c>
      <c r="T15" s="301"/>
    </row>
    <row r="16" spans="1:21">
      <c r="A16" s="301" t="s">
        <v>359</v>
      </c>
      <c r="B16" s="301"/>
      <c r="C16" s="301">
        <f t="shared" ref="C16:S16" si="5">C9</f>
        <v>10000</v>
      </c>
      <c r="D16" s="301">
        <f t="shared" si="5"/>
        <v>10149.999999999998</v>
      </c>
      <c r="E16" s="301">
        <f t="shared" si="5"/>
        <v>10300</v>
      </c>
      <c r="F16" s="301">
        <f t="shared" si="5"/>
        <v>10600</v>
      </c>
      <c r="G16" s="301">
        <f t="shared" si="5"/>
        <v>10900</v>
      </c>
      <c r="H16" s="301">
        <f t="shared" si="5"/>
        <v>11200.000000000002</v>
      </c>
      <c r="I16" s="301">
        <f t="shared" si="5"/>
        <v>11500</v>
      </c>
      <c r="J16" s="301">
        <f t="shared" si="5"/>
        <v>11800</v>
      </c>
      <c r="K16" s="301">
        <f t="shared" si="5"/>
        <v>12100</v>
      </c>
      <c r="L16" s="301">
        <f t="shared" si="5"/>
        <v>12400</v>
      </c>
      <c r="M16" s="301">
        <f t="shared" si="5"/>
        <v>12700</v>
      </c>
      <c r="N16" s="301">
        <f t="shared" si="5"/>
        <v>13000</v>
      </c>
      <c r="O16" s="301">
        <f t="shared" si="5"/>
        <v>13300</v>
      </c>
      <c r="P16" s="301">
        <f t="shared" si="5"/>
        <v>13599.999999999998</v>
      </c>
      <c r="Q16" s="301">
        <f t="shared" si="5"/>
        <v>13900.000000000002</v>
      </c>
      <c r="R16" s="301">
        <f t="shared" si="5"/>
        <v>14200</v>
      </c>
      <c r="S16" s="303">
        <f t="shared" si="5"/>
        <v>14500</v>
      </c>
      <c r="T16" s="301"/>
    </row>
    <row r="17" spans="1:20">
      <c r="A17" s="301" t="s">
        <v>358</v>
      </c>
      <c r="B17" s="301"/>
      <c r="C17" s="303">
        <f t="shared" ref="C17:S17" si="6">C10-C9</f>
        <v>0</v>
      </c>
      <c r="D17" s="303">
        <f t="shared" si="6"/>
        <v>0</v>
      </c>
      <c r="E17" s="303">
        <f t="shared" si="6"/>
        <v>2.249999999996362</v>
      </c>
      <c r="F17" s="303">
        <f t="shared" si="6"/>
        <v>13.63550624999516</v>
      </c>
      <c r="G17" s="303">
        <f t="shared" si="6"/>
        <v>34.432639426397145</v>
      </c>
      <c r="H17" s="303">
        <f t="shared" si="6"/>
        <v>64.925865953055109</v>
      </c>
      <c r="I17" s="303">
        <f t="shared" si="6"/>
        <v>105.40825025148479</v>
      </c>
      <c r="J17" s="303">
        <f t="shared" si="6"/>
        <v>156.18171461533348</v>
      </c>
      <c r="K17" s="303">
        <f t="shared" si="6"/>
        <v>217.55730693957776</v>
      </c>
      <c r="L17" s="303">
        <f t="shared" si="6"/>
        <v>289.85547654182301</v>
      </c>
      <c r="M17" s="303">
        <f t="shared" si="6"/>
        <v>373.40635832029693</v>
      </c>
      <c r="N17" s="303">
        <f t="shared" si="6"/>
        <v>468.55006550052167</v>
      </c>
      <c r="O17" s="303">
        <f t="shared" si="6"/>
        <v>575.63699123027072</v>
      </c>
      <c r="P17" s="303">
        <f t="shared" si="6"/>
        <v>695.0281192902039</v>
      </c>
      <c r="Q17" s="303">
        <f t="shared" si="6"/>
        <v>827.09534419574447</v>
      </c>
      <c r="R17" s="303">
        <f t="shared" si="6"/>
        <v>972.22180097405726</v>
      </c>
      <c r="S17" s="303">
        <f t="shared" si="6"/>
        <v>1130.8022049084939</v>
      </c>
      <c r="T17" s="301"/>
    </row>
    <row r="18" spans="1:20">
      <c r="A18" s="301" t="s">
        <v>357</v>
      </c>
      <c r="B18" s="301"/>
      <c r="C18" s="303">
        <f t="shared" ref="C18:S18" si="7">C11-C10</f>
        <v>0</v>
      </c>
      <c r="D18" s="303">
        <f t="shared" si="7"/>
        <v>400.00000000000182</v>
      </c>
      <c r="E18" s="303">
        <f t="shared" si="7"/>
        <v>797.75000000000546</v>
      </c>
      <c r="F18" s="303">
        <f t="shared" si="7"/>
        <v>1586.3644937500048</v>
      </c>
      <c r="G18" s="303">
        <f t="shared" si="7"/>
        <v>2365.5673605736029</v>
      </c>
      <c r="H18" s="303">
        <f t="shared" si="7"/>
        <v>3135.0741340469431</v>
      </c>
      <c r="I18" s="303">
        <f t="shared" si="7"/>
        <v>3894.5917497485152</v>
      </c>
      <c r="J18" s="303">
        <f t="shared" si="7"/>
        <v>4643.8182853846665</v>
      </c>
      <c r="K18" s="303">
        <f t="shared" si="7"/>
        <v>5382.4426930604222</v>
      </c>
      <c r="L18" s="303">
        <f t="shared" si="7"/>
        <v>6110.144523458177</v>
      </c>
      <c r="M18" s="303">
        <f t="shared" si="7"/>
        <v>6826.5936416797031</v>
      </c>
      <c r="N18" s="303">
        <f t="shared" si="7"/>
        <v>7531.4499344994783</v>
      </c>
      <c r="O18" s="303">
        <f t="shared" si="7"/>
        <v>8224.3630087697293</v>
      </c>
      <c r="P18" s="303">
        <f t="shared" si="7"/>
        <v>8904.9718807098016</v>
      </c>
      <c r="Q18" s="303">
        <f t="shared" si="7"/>
        <v>9572.9046558042501</v>
      </c>
      <c r="R18" s="303">
        <f t="shared" si="7"/>
        <v>10227.778199025943</v>
      </c>
      <c r="S18" s="303">
        <f t="shared" si="7"/>
        <v>10869.197795091506</v>
      </c>
      <c r="T18" s="301"/>
    </row>
    <row r="19" spans="1:20">
      <c r="A19" s="301" t="s">
        <v>356</v>
      </c>
      <c r="B19" s="301"/>
      <c r="C19" s="303">
        <f t="shared" ref="C19:S19" si="8">C12-C11</f>
        <v>0</v>
      </c>
      <c r="D19" s="303">
        <f t="shared" si="8"/>
        <v>0</v>
      </c>
      <c r="E19" s="303">
        <f t="shared" si="8"/>
        <v>30.249999999998181</v>
      </c>
      <c r="F19" s="303">
        <f t="shared" si="8"/>
        <v>188.24650624999776</v>
      </c>
      <c r="G19" s="303">
        <f t="shared" si="8"/>
        <v>488.42806761890279</v>
      </c>
      <c r="H19" s="303">
        <f t="shared" si="8"/>
        <v>946.865149961528</v>
      </c>
      <c r="I19" s="303">
        <f t="shared" si="8"/>
        <v>1581.4445835359293</v>
      </c>
      <c r="J19" s="303">
        <f t="shared" si="8"/>
        <v>2412.0748575900761</v>
      </c>
      <c r="K19" s="303">
        <f t="shared" si="8"/>
        <v>3460.9146183691919</v>
      </c>
      <c r="L19" s="303">
        <f t="shared" si="8"/>
        <v>4752.626993110367</v>
      </c>
      <c r="M19" s="303">
        <f t="shared" si="8"/>
        <v>6314.6626590066662</v>
      </c>
      <c r="N19" s="303">
        <f t="shared" si="8"/>
        <v>8177.5749060408925</v>
      </c>
      <c r="O19" s="303">
        <f t="shared" si="8"/>
        <v>10375.370309796162</v>
      </c>
      <c r="P19" s="303">
        <f t="shared" si="8"/>
        <v>12945.899039060863</v>
      </c>
      <c r="Q19" s="303">
        <f t="shared" si="8"/>
        <v>15931.289277950727</v>
      </c>
      <c r="R19" s="303">
        <f t="shared" si="8"/>
        <v>19378.430748591098</v>
      </c>
      <c r="S19" s="303">
        <f t="shared" si="8"/>
        <v>23339.5128839506</v>
      </c>
      <c r="T19" s="301"/>
    </row>
    <row r="20" spans="1:20">
      <c r="A20" s="301"/>
      <c r="B20" s="301"/>
      <c r="C20" s="301"/>
      <c r="D20" s="301"/>
      <c r="E20" s="301"/>
      <c r="F20" s="301"/>
      <c r="G20" s="301"/>
      <c r="H20" s="301"/>
      <c r="I20" s="301"/>
      <c r="J20" s="301"/>
      <c r="K20" s="301"/>
      <c r="L20" s="301"/>
      <c r="M20" s="301"/>
      <c r="N20" s="301"/>
      <c r="O20" s="301"/>
      <c r="P20" s="301"/>
      <c r="Q20" s="301"/>
      <c r="R20" s="301"/>
      <c r="S20" s="303"/>
      <c r="T20" s="301"/>
    </row>
    <row r="21" spans="1:20">
      <c r="A21" s="301"/>
      <c r="B21" s="301"/>
      <c r="C21" s="301"/>
      <c r="D21" s="301"/>
      <c r="E21" s="301"/>
      <c r="F21" s="301"/>
      <c r="G21" s="301"/>
      <c r="H21" s="301"/>
      <c r="I21" s="301"/>
      <c r="J21" s="301"/>
      <c r="K21" s="301"/>
      <c r="L21" s="301"/>
      <c r="M21" s="301"/>
      <c r="N21" s="301"/>
      <c r="O21" s="301"/>
      <c r="P21" s="301"/>
      <c r="Q21" s="301"/>
      <c r="R21" s="301"/>
      <c r="S21" s="303">
        <f>SUM(S16:S19)</f>
        <v>49839.5128839506</v>
      </c>
      <c r="T21" s="301" t="s">
        <v>355</v>
      </c>
    </row>
    <row r="22" spans="1:20">
      <c r="A22" s="301"/>
      <c r="B22" s="301"/>
      <c r="C22" s="301"/>
      <c r="D22" s="301"/>
      <c r="E22" s="301"/>
      <c r="F22" s="301"/>
      <c r="G22" s="301"/>
      <c r="H22" s="301"/>
      <c r="I22" s="301"/>
      <c r="J22" s="301"/>
      <c r="K22" s="301"/>
      <c r="L22" s="301"/>
      <c r="M22" s="301"/>
      <c r="N22" s="301"/>
      <c r="O22" s="301"/>
      <c r="P22" s="301"/>
      <c r="Q22" s="301"/>
      <c r="R22" s="301"/>
      <c r="S22" s="301"/>
      <c r="T22" s="301"/>
    </row>
    <row r="23" spans="1:20">
      <c r="A23" s="301"/>
      <c r="B23" s="301"/>
      <c r="C23" s="301"/>
      <c r="D23" s="301"/>
      <c r="E23" s="301"/>
      <c r="F23" s="301"/>
      <c r="G23" s="301"/>
      <c r="H23" s="301"/>
      <c r="I23" s="301"/>
      <c r="J23" s="301"/>
      <c r="K23" s="301"/>
      <c r="L23" s="301"/>
      <c r="M23" s="301"/>
      <c r="N23" s="301"/>
      <c r="O23" s="301"/>
      <c r="P23" s="301"/>
      <c r="Q23" s="301"/>
      <c r="R23" s="301"/>
      <c r="S23" s="301"/>
      <c r="T23" s="301"/>
    </row>
    <row r="24" spans="1:20">
      <c r="A24" s="301"/>
      <c r="B24" s="301"/>
      <c r="C24" s="301"/>
      <c r="D24" s="301"/>
      <c r="E24" s="301"/>
      <c r="F24" s="301"/>
      <c r="G24" s="301"/>
      <c r="H24" s="301"/>
      <c r="I24" s="301"/>
      <c r="J24" s="301"/>
      <c r="K24" s="301"/>
      <c r="L24" s="301"/>
      <c r="M24" s="301"/>
      <c r="N24" s="301"/>
      <c r="O24" s="301"/>
      <c r="P24" s="301"/>
      <c r="Q24" s="301"/>
      <c r="R24" s="301"/>
      <c r="S24" s="301"/>
      <c r="T24" s="301"/>
    </row>
    <row r="25" spans="1:20">
      <c r="A25" s="301"/>
      <c r="B25" s="301"/>
      <c r="C25" s="301"/>
      <c r="D25" s="301"/>
      <c r="E25" s="301"/>
      <c r="F25" s="301"/>
      <c r="G25" s="301"/>
      <c r="H25" s="301"/>
      <c r="I25" s="301"/>
      <c r="J25" s="301"/>
      <c r="K25" s="301"/>
      <c r="L25" s="301"/>
      <c r="M25" s="301"/>
      <c r="N25" s="301"/>
      <c r="O25" s="301"/>
      <c r="P25" s="301"/>
      <c r="Q25" s="301"/>
      <c r="R25" s="301"/>
      <c r="S25" s="301"/>
      <c r="T25" s="301"/>
    </row>
    <row r="26" spans="1:20">
      <c r="A26" s="301"/>
      <c r="B26" s="301"/>
      <c r="C26" s="301"/>
      <c r="D26" s="301"/>
      <c r="E26" s="301"/>
      <c r="F26" s="301"/>
      <c r="G26" s="301"/>
      <c r="H26" s="301"/>
      <c r="I26" s="301"/>
      <c r="J26" s="301"/>
      <c r="K26" s="301"/>
      <c r="L26" s="301"/>
      <c r="M26" s="301"/>
      <c r="N26" s="301"/>
      <c r="O26" s="301"/>
      <c r="P26" s="301"/>
      <c r="Q26" s="301"/>
      <c r="R26" s="301"/>
      <c r="S26" s="301"/>
      <c r="T26" s="301"/>
    </row>
    <row r="27" spans="1:20">
      <c r="A27" s="301"/>
      <c r="B27" s="301"/>
      <c r="C27" s="301"/>
      <c r="D27" s="301"/>
      <c r="E27" s="301"/>
      <c r="F27" s="301"/>
      <c r="G27" s="301"/>
      <c r="H27" s="301"/>
      <c r="I27" s="301"/>
      <c r="J27" s="301"/>
      <c r="K27" s="301"/>
      <c r="L27" s="301"/>
      <c r="M27" s="301"/>
      <c r="N27" s="301"/>
      <c r="O27" s="301"/>
      <c r="P27" s="301"/>
      <c r="Q27" s="301"/>
      <c r="R27" s="301"/>
      <c r="S27" s="301"/>
      <c r="T27" s="301"/>
    </row>
    <row r="28" spans="1:20">
      <c r="A28" s="301"/>
      <c r="B28" s="301"/>
      <c r="C28" s="301"/>
      <c r="D28" s="301"/>
      <c r="E28" s="301"/>
      <c r="F28" s="301"/>
      <c r="G28" s="301"/>
      <c r="H28" s="301"/>
      <c r="I28" s="301"/>
      <c r="J28" s="301"/>
      <c r="K28" s="301"/>
      <c r="L28" s="301"/>
      <c r="M28" s="301"/>
      <c r="N28" s="301"/>
      <c r="O28" s="301"/>
      <c r="P28" s="301"/>
      <c r="Q28" s="301"/>
      <c r="R28" s="301"/>
      <c r="S28" s="301"/>
      <c r="T28" s="301"/>
    </row>
    <row r="29" spans="1:20">
      <c r="A29" s="301"/>
      <c r="B29" s="301"/>
      <c r="C29" s="301"/>
      <c r="D29" s="301"/>
      <c r="E29" s="301"/>
      <c r="F29" s="301"/>
      <c r="G29" s="301"/>
      <c r="H29" s="301"/>
      <c r="I29" s="301"/>
      <c r="J29" s="301"/>
      <c r="K29" s="301"/>
      <c r="L29" s="301"/>
      <c r="M29" s="301"/>
      <c r="N29" s="301"/>
      <c r="O29" s="301"/>
      <c r="P29" s="301"/>
      <c r="Q29" s="301"/>
      <c r="R29" s="301"/>
      <c r="S29" s="301"/>
      <c r="T29" s="301"/>
    </row>
    <row r="30" spans="1:20">
      <c r="A30" s="301"/>
      <c r="B30" s="301"/>
      <c r="C30" s="301"/>
      <c r="D30" s="301"/>
      <c r="E30" s="301"/>
      <c r="F30" s="301"/>
      <c r="G30" s="301"/>
      <c r="H30" s="301"/>
      <c r="I30" s="301"/>
      <c r="J30" s="301"/>
      <c r="K30" s="301"/>
      <c r="L30" s="301"/>
      <c r="M30" s="301"/>
      <c r="N30" s="301"/>
      <c r="O30" s="301"/>
      <c r="P30" s="301"/>
      <c r="Q30" s="301"/>
      <c r="R30" s="301"/>
      <c r="S30" s="301"/>
      <c r="T30" s="301"/>
    </row>
    <row r="31" spans="1:20">
      <c r="A31" s="301"/>
      <c r="B31" s="301"/>
      <c r="C31" s="301"/>
      <c r="D31" s="301"/>
      <c r="E31" s="301"/>
      <c r="F31" s="301"/>
      <c r="G31" s="301"/>
      <c r="H31" s="301"/>
      <c r="I31" s="301"/>
      <c r="J31" s="301"/>
      <c r="K31" s="301"/>
      <c r="L31" s="301"/>
      <c r="M31" s="301"/>
      <c r="N31" s="301"/>
      <c r="O31" s="301"/>
      <c r="P31" s="301"/>
      <c r="Q31" s="301"/>
      <c r="R31" s="301"/>
      <c r="S31" s="301"/>
      <c r="T31" s="301"/>
    </row>
    <row r="32" spans="1:20">
      <c r="A32" s="301"/>
      <c r="B32" s="301"/>
      <c r="C32" s="301"/>
      <c r="D32" s="301"/>
      <c r="E32" s="301"/>
      <c r="F32" s="301"/>
      <c r="G32" s="301"/>
      <c r="H32" s="301"/>
      <c r="I32" s="301"/>
      <c r="J32" s="301"/>
      <c r="K32" s="301"/>
      <c r="L32" s="301"/>
      <c r="M32" s="301"/>
      <c r="N32" s="301"/>
      <c r="O32" s="301"/>
      <c r="P32" s="301"/>
      <c r="Q32" s="301"/>
      <c r="R32" s="301"/>
      <c r="S32" s="301"/>
      <c r="T32" s="301"/>
    </row>
    <row r="33" spans="1:20">
      <c r="A33" s="301"/>
      <c r="B33" s="301"/>
      <c r="C33" s="301"/>
      <c r="D33" s="301"/>
      <c r="E33" s="301"/>
      <c r="F33" s="301"/>
      <c r="G33" s="301"/>
      <c r="H33" s="301"/>
      <c r="I33" s="301"/>
      <c r="J33" s="301"/>
      <c r="K33" s="301"/>
      <c r="L33" s="301"/>
      <c r="M33" s="301"/>
      <c r="N33" s="301"/>
      <c r="O33" s="301"/>
      <c r="P33" s="301"/>
      <c r="Q33" s="301"/>
      <c r="R33" s="301"/>
      <c r="S33" s="301"/>
      <c r="T33" s="301"/>
    </row>
    <row r="34" spans="1:20">
      <c r="A34" s="301"/>
      <c r="B34" s="301"/>
      <c r="C34" s="301"/>
      <c r="D34" s="301"/>
      <c r="E34" s="301"/>
      <c r="F34" s="301"/>
      <c r="G34" s="301"/>
      <c r="H34" s="301"/>
      <c r="I34" s="301"/>
      <c r="J34" s="301"/>
      <c r="K34" s="301"/>
      <c r="L34" s="301"/>
      <c r="M34" s="301"/>
      <c r="N34" s="301"/>
      <c r="O34" s="301"/>
      <c r="P34" s="301"/>
      <c r="Q34" s="301"/>
      <c r="R34" s="301"/>
      <c r="S34" s="301"/>
      <c r="T34" s="301"/>
    </row>
    <row r="35" spans="1:20">
      <c r="A35" s="301"/>
      <c r="B35" s="301"/>
      <c r="C35" s="301"/>
      <c r="D35" s="301"/>
      <c r="E35" s="301"/>
      <c r="F35" s="301"/>
      <c r="G35" s="301"/>
      <c r="H35" s="301"/>
      <c r="I35" s="301"/>
      <c r="J35" s="301"/>
      <c r="K35" s="301"/>
      <c r="L35" s="301"/>
      <c r="M35" s="301"/>
      <c r="N35" s="301"/>
      <c r="O35" s="301"/>
      <c r="P35" s="301"/>
      <c r="Q35" s="301"/>
      <c r="R35" s="301"/>
      <c r="S35" s="301"/>
      <c r="T35" s="301"/>
    </row>
    <row r="36" spans="1:20">
      <c r="A36" s="301"/>
      <c r="B36" s="301"/>
      <c r="C36" s="301"/>
      <c r="D36" s="301"/>
      <c r="E36" s="301"/>
      <c r="F36" s="301"/>
      <c r="G36" s="301"/>
      <c r="H36" s="301"/>
      <c r="I36" s="301"/>
      <c r="J36" s="301"/>
      <c r="K36" s="301"/>
      <c r="L36" s="301"/>
      <c r="M36" s="301"/>
      <c r="N36" s="301"/>
      <c r="O36" s="301"/>
      <c r="P36" s="301"/>
      <c r="Q36" s="301"/>
      <c r="R36" s="301"/>
      <c r="S36" s="301"/>
      <c r="T36" s="301"/>
    </row>
    <row r="37" spans="1:20">
      <c r="A37" s="297"/>
      <c r="B37" s="301"/>
      <c r="C37" s="301"/>
      <c r="D37" s="301"/>
      <c r="E37" s="301"/>
      <c r="F37" s="301"/>
      <c r="G37" s="301"/>
      <c r="H37" s="301"/>
      <c r="I37" s="301"/>
      <c r="J37" s="301"/>
      <c r="K37" s="301"/>
      <c r="L37" s="301"/>
      <c r="M37" s="301"/>
      <c r="N37" s="301"/>
      <c r="O37" s="301"/>
      <c r="P37" s="301"/>
      <c r="Q37" s="301"/>
      <c r="R37" s="301"/>
      <c r="S37" s="301"/>
      <c r="T37" s="301"/>
    </row>
  </sheetData>
  <pageMargins left="0.78740157499999996" right="0.78740157499999996" top="0.984251969" bottom="0.984251969" header="0.4921259845" footer="0.4921259845"/>
  <pageSetup paperSize="9" orientation="portrait" horizontalDpi="300" verticalDpi="30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B2" sqref="B2"/>
    </sheetView>
  </sheetViews>
  <sheetFormatPr baseColWidth="10" defaultRowHeight="12.75"/>
  <cols>
    <col min="4" max="4" width="5.7109375" customWidth="1"/>
  </cols>
  <sheetData>
    <row r="1" spans="1:6">
      <c r="A1" s="9"/>
      <c r="B1" s="9"/>
      <c r="C1" s="9"/>
      <c r="D1" s="9"/>
      <c r="E1" s="9"/>
      <c r="F1" s="9"/>
    </row>
    <row r="2" spans="1:6">
      <c r="A2" s="9" t="s">
        <v>41</v>
      </c>
      <c r="B2" s="23">
        <v>100</v>
      </c>
      <c r="C2" s="9"/>
      <c r="D2" s="9"/>
      <c r="E2" s="9"/>
      <c r="F2" s="9"/>
    </row>
    <row r="3" spans="1:6">
      <c r="A3" s="9" t="s">
        <v>33</v>
      </c>
      <c r="B3" s="24">
        <v>0.03</v>
      </c>
      <c r="C3" s="9" t="s">
        <v>37</v>
      </c>
      <c r="D3" s="9"/>
      <c r="E3" s="9"/>
      <c r="F3" s="9"/>
    </row>
    <row r="4" spans="1:6">
      <c r="A4" s="9"/>
      <c r="B4" s="9"/>
      <c r="C4" s="9"/>
      <c r="D4" s="9"/>
      <c r="E4" s="9"/>
      <c r="F4" s="9"/>
    </row>
    <row r="5" spans="1:6" ht="12.75" customHeight="1">
      <c r="A5" s="9"/>
      <c r="B5" s="9"/>
      <c r="C5" s="9"/>
      <c r="D5" s="9"/>
      <c r="E5" s="9"/>
      <c r="F5" s="9"/>
    </row>
    <row r="6" spans="1:6">
      <c r="A6" s="31" t="s">
        <v>110</v>
      </c>
      <c r="B6" s="9" t="s">
        <v>157</v>
      </c>
      <c r="C6" s="9"/>
      <c r="D6" s="9"/>
      <c r="E6" s="9" t="s">
        <v>80</v>
      </c>
      <c r="F6" s="9"/>
    </row>
    <row r="7" spans="1:6">
      <c r="A7" s="22">
        <v>0.5</v>
      </c>
      <c r="B7" s="77">
        <f>$B$2*(1+$B$3)^A7</f>
        <v>101.48891565092219</v>
      </c>
      <c r="C7" s="9"/>
      <c r="D7" s="9"/>
      <c r="E7" s="44">
        <f>$B$2*(1+A7*B$3)</f>
        <v>101.49999999999999</v>
      </c>
      <c r="F7" s="9"/>
    </row>
    <row r="8" spans="1:6">
      <c r="A8" s="9"/>
      <c r="B8" s="44"/>
      <c r="C8" s="9"/>
      <c r="D8" s="9"/>
      <c r="E8" s="44"/>
      <c r="F8" s="9"/>
    </row>
    <row r="9" spans="1:6">
      <c r="A9" s="9"/>
      <c r="B9" s="9"/>
      <c r="C9" s="9"/>
      <c r="D9" s="9"/>
      <c r="E9" s="9"/>
      <c r="F9" s="9"/>
    </row>
    <row r="10" spans="1:6">
      <c r="A10" s="31" t="s">
        <v>110</v>
      </c>
      <c r="B10" s="9" t="s">
        <v>158</v>
      </c>
      <c r="C10" s="9"/>
      <c r="D10" s="9"/>
      <c r="E10" s="9" t="s">
        <v>80</v>
      </c>
      <c r="F10" s="9"/>
    </row>
    <row r="11" spans="1:6">
      <c r="A11" s="22">
        <v>0.25</v>
      </c>
      <c r="B11" s="77">
        <f>$B$2*(1+$B$3)^A11</f>
        <v>100.74170717777329</v>
      </c>
      <c r="C11" s="9"/>
      <c r="D11" s="9"/>
      <c r="E11" s="77">
        <f>$B$2*(1+A11*B$3)</f>
        <v>100.75</v>
      </c>
      <c r="F11" s="9"/>
    </row>
    <row r="12" spans="1:6">
      <c r="A12" s="22">
        <v>0.5</v>
      </c>
      <c r="B12" s="77">
        <f>$B$2*(1+$B$3)^A12</f>
        <v>101.48891565092219</v>
      </c>
      <c r="C12" s="9"/>
      <c r="D12" s="9"/>
      <c r="E12" s="77">
        <f>E11*(1+(A12-A11)*$B$3)</f>
        <v>101.50562500000001</v>
      </c>
      <c r="F12" s="9"/>
    </row>
    <row r="13" spans="1:6">
      <c r="A13" s="9"/>
      <c r="B13" s="9"/>
      <c r="C13" s="9"/>
      <c r="D13" s="9"/>
      <c r="E13" s="9"/>
      <c r="F13" s="9"/>
    </row>
  </sheetData>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8" sqref="B8"/>
    </sheetView>
  </sheetViews>
  <sheetFormatPr baseColWidth="10" defaultRowHeight="12.75"/>
  <cols>
    <col min="1" max="1" width="13" bestFit="1" customWidth="1"/>
    <col min="3" max="3" width="7.140625" customWidth="1"/>
  </cols>
  <sheetData>
    <row r="1" spans="1:6">
      <c r="A1" s="8" t="s">
        <v>80</v>
      </c>
      <c r="B1" s="9"/>
      <c r="C1" s="9"/>
      <c r="D1" s="9"/>
      <c r="E1" s="9"/>
      <c r="F1" s="9"/>
    </row>
    <row r="2" spans="1:6">
      <c r="A2" s="49" t="s">
        <v>33</v>
      </c>
      <c r="B2" s="20">
        <v>0.03</v>
      </c>
      <c r="C2" s="9"/>
      <c r="D2" s="9"/>
      <c r="E2" s="9"/>
      <c r="F2" s="9"/>
    </row>
    <row r="3" spans="1:6">
      <c r="A3" s="9"/>
      <c r="B3" s="9"/>
      <c r="C3" s="9"/>
      <c r="D3" s="9"/>
      <c r="E3" s="9"/>
      <c r="F3" s="9"/>
    </row>
    <row r="4" spans="1:6" ht="21.75" customHeight="1">
      <c r="A4" s="49" t="s">
        <v>81</v>
      </c>
      <c r="B4" s="49" t="s">
        <v>67</v>
      </c>
      <c r="C4" s="9"/>
      <c r="D4" s="9" t="s">
        <v>82</v>
      </c>
      <c r="E4" s="9"/>
      <c r="F4" s="9"/>
    </row>
    <row r="5" spans="1:6">
      <c r="A5" s="19">
        <v>0</v>
      </c>
      <c r="B5" s="17">
        <v>500</v>
      </c>
      <c r="C5" s="9"/>
      <c r="D5" s="9" t="s">
        <v>83</v>
      </c>
      <c r="E5" s="9"/>
      <c r="F5" s="9"/>
    </row>
    <row r="6" spans="1:6">
      <c r="A6" s="225">
        <v>0.25</v>
      </c>
      <c r="B6" s="17">
        <v>1000</v>
      </c>
      <c r="C6" s="9"/>
      <c r="D6" s="9" t="s">
        <v>84</v>
      </c>
      <c r="E6" s="9"/>
      <c r="F6" s="9"/>
    </row>
    <row r="7" spans="1:6">
      <c r="A7" s="225">
        <v>0.75</v>
      </c>
      <c r="B7" s="17">
        <v>-1400</v>
      </c>
      <c r="C7" s="9"/>
      <c r="D7" s="9"/>
      <c r="E7" s="9"/>
      <c r="F7" s="9"/>
    </row>
    <row r="8" spans="1:6">
      <c r="A8" s="225"/>
      <c r="B8" s="17"/>
      <c r="C8" s="9"/>
      <c r="D8" s="9" t="s">
        <v>85</v>
      </c>
      <c r="E8" s="9"/>
      <c r="F8" s="9"/>
    </row>
    <row r="9" spans="1:6">
      <c r="A9" s="225"/>
      <c r="B9" s="17"/>
      <c r="C9" s="9"/>
      <c r="D9" s="9" t="s">
        <v>86</v>
      </c>
      <c r="E9" s="9"/>
      <c r="F9" s="9"/>
    </row>
    <row r="10" spans="1:6">
      <c r="A10" s="225"/>
      <c r="B10" s="17"/>
      <c r="C10" s="9"/>
      <c r="D10" s="9"/>
      <c r="E10" s="9"/>
      <c r="F10" s="9"/>
    </row>
    <row r="11" spans="1:6">
      <c r="A11" s="225"/>
      <c r="B11" s="17"/>
      <c r="C11" s="9"/>
      <c r="D11" s="9"/>
      <c r="E11" s="9"/>
      <c r="F11" s="9"/>
    </row>
    <row r="12" spans="1:6">
      <c r="A12" s="225"/>
      <c r="B12" s="17"/>
      <c r="C12" s="9"/>
      <c r="D12" s="9"/>
      <c r="E12" s="9"/>
      <c r="F12" s="9"/>
    </row>
    <row r="13" spans="1:6">
      <c r="A13" s="225"/>
      <c r="B13" s="17"/>
      <c r="C13" s="9"/>
      <c r="D13" s="9"/>
      <c r="E13" s="9"/>
      <c r="F13" s="9"/>
    </row>
    <row r="14" spans="1:6">
      <c r="A14" s="225"/>
      <c r="B14" s="17"/>
      <c r="C14" s="9"/>
      <c r="D14" s="9"/>
      <c r="E14" s="9"/>
      <c r="F14" s="9"/>
    </row>
    <row r="15" spans="1:6">
      <c r="A15" s="225"/>
      <c r="B15" s="17"/>
      <c r="C15" s="9"/>
      <c r="D15" s="9"/>
      <c r="E15" s="9"/>
      <c r="F15" s="9"/>
    </row>
    <row r="16" spans="1:6">
      <c r="A16" s="225"/>
      <c r="B16" s="17"/>
      <c r="C16" s="9"/>
      <c r="D16" s="9"/>
      <c r="E16" s="9"/>
      <c r="F16" s="9"/>
    </row>
    <row r="17" spans="1:6">
      <c r="A17" s="9"/>
      <c r="B17" s="9"/>
      <c r="C17" s="9"/>
      <c r="D17" s="9"/>
      <c r="E17" s="9"/>
      <c r="F17" s="9"/>
    </row>
    <row r="18" spans="1:6">
      <c r="A18" s="16" t="s">
        <v>81</v>
      </c>
      <c r="B18" s="16" t="s">
        <v>87</v>
      </c>
      <c r="C18" s="9"/>
      <c r="D18" s="9"/>
      <c r="E18" s="9"/>
      <c r="F18" s="9"/>
    </row>
    <row r="19" spans="1:6">
      <c r="A19" s="16">
        <f>MAX(A5:A16,1)</f>
        <v>1</v>
      </c>
      <c r="B19" s="128">
        <f>-SUMPRODUCT(A5:A16,B5:B16)*B2+(1+B2)*SUM(B5:B16)</f>
        <v>127</v>
      </c>
      <c r="C19" s="9"/>
      <c r="D19" s="9"/>
      <c r="E19" s="9"/>
      <c r="F19" s="9"/>
    </row>
    <row r="20" spans="1:6">
      <c r="A20" s="9"/>
      <c r="B20" s="9"/>
      <c r="C20" s="9"/>
      <c r="D20" s="9"/>
      <c r="E20" s="9"/>
      <c r="F20" s="9"/>
    </row>
  </sheetData>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election activeCell="C1" sqref="C1"/>
    </sheetView>
  </sheetViews>
  <sheetFormatPr baseColWidth="10" defaultRowHeight="12.75"/>
  <cols>
    <col min="1" max="1" width="7.42578125" style="113" customWidth="1"/>
    <col min="2" max="2" width="15.42578125" style="113" customWidth="1"/>
    <col min="3" max="3" width="15.28515625" style="113" customWidth="1"/>
    <col min="4" max="4" width="15.42578125" style="113" customWidth="1"/>
    <col min="5" max="5" width="11.42578125" style="113"/>
    <col min="6" max="16384" width="11.42578125" style="7"/>
  </cols>
  <sheetData>
    <row r="1" spans="1:4">
      <c r="A1" s="263"/>
      <c r="B1" s="264" t="s">
        <v>159</v>
      </c>
      <c r="C1" s="265">
        <v>4000</v>
      </c>
      <c r="D1" s="112" t="s">
        <v>160</v>
      </c>
    </row>
    <row r="2" spans="1:4">
      <c r="A2" s="263"/>
      <c r="B2" s="264" t="s">
        <v>22</v>
      </c>
      <c r="C2" s="265">
        <v>2006</v>
      </c>
      <c r="D2" s="112"/>
    </row>
    <row r="3" spans="1:4">
      <c r="A3" s="114"/>
      <c r="B3" s="115"/>
      <c r="C3" s="114"/>
      <c r="D3" s="114"/>
    </row>
    <row r="4" spans="1:4">
      <c r="A4" s="263"/>
      <c r="B4" s="264" t="s">
        <v>161</v>
      </c>
      <c r="C4" s="265">
        <v>150</v>
      </c>
      <c r="D4" s="267" t="s">
        <v>162</v>
      </c>
    </row>
    <row r="5" spans="1:4">
      <c r="A5" s="263"/>
      <c r="B5" s="264" t="s">
        <v>163</v>
      </c>
      <c r="C5" s="266">
        <v>0.05</v>
      </c>
      <c r="D5" s="267" t="s">
        <v>164</v>
      </c>
    </row>
    <row r="6" spans="1:4">
      <c r="B6" s="115"/>
      <c r="C6" s="116"/>
      <c r="D6" s="114"/>
    </row>
    <row r="7" spans="1:4">
      <c r="A7" s="113" t="s">
        <v>44</v>
      </c>
    </row>
    <row r="8" spans="1:4" ht="39.75" customHeight="1">
      <c r="A8" s="112"/>
      <c r="B8" s="111" t="s">
        <v>22</v>
      </c>
      <c r="C8" s="118" t="s">
        <v>165</v>
      </c>
      <c r="D8" s="118" t="s">
        <v>166</v>
      </c>
    </row>
    <row r="9" spans="1:4">
      <c r="A9" s="112">
        <v>1</v>
      </c>
      <c r="B9" s="112">
        <f>C2</f>
        <v>2006</v>
      </c>
      <c r="C9" s="119">
        <f>C1</f>
        <v>4000</v>
      </c>
      <c r="D9" s="119">
        <f>C1</f>
        <v>4000</v>
      </c>
    </row>
    <row r="10" spans="1:4">
      <c r="A10" s="112">
        <v>2</v>
      </c>
      <c r="B10" s="112">
        <f>B9+1</f>
        <v>2007</v>
      </c>
      <c r="C10" s="119">
        <f t="shared" ref="C10:C25" si="0">C9+$C$4</f>
        <v>4150</v>
      </c>
      <c r="D10" s="119">
        <f t="shared" ref="D10:D25" si="1">D9*(1+$C$5)</f>
        <v>4200</v>
      </c>
    </row>
    <row r="11" spans="1:4">
      <c r="A11" s="112">
        <v>3</v>
      </c>
      <c r="B11" s="112">
        <f t="shared" ref="B11:B25" si="2">B10+1</f>
        <v>2008</v>
      </c>
      <c r="C11" s="119">
        <f t="shared" si="0"/>
        <v>4300</v>
      </c>
      <c r="D11" s="119">
        <f t="shared" si="1"/>
        <v>4410</v>
      </c>
    </row>
    <row r="12" spans="1:4">
      <c r="A12" s="112">
        <v>4</v>
      </c>
      <c r="B12" s="112">
        <f t="shared" si="2"/>
        <v>2009</v>
      </c>
      <c r="C12" s="119">
        <f t="shared" si="0"/>
        <v>4450</v>
      </c>
      <c r="D12" s="119">
        <f t="shared" si="1"/>
        <v>4630.5</v>
      </c>
    </row>
    <row r="13" spans="1:4">
      <c r="A13" s="112">
        <v>5</v>
      </c>
      <c r="B13" s="112">
        <f t="shared" si="2"/>
        <v>2010</v>
      </c>
      <c r="C13" s="119">
        <f t="shared" si="0"/>
        <v>4600</v>
      </c>
      <c r="D13" s="119">
        <f t="shared" si="1"/>
        <v>4862.0250000000005</v>
      </c>
    </row>
    <row r="14" spans="1:4">
      <c r="A14" s="112">
        <v>6</v>
      </c>
      <c r="B14" s="112">
        <f t="shared" si="2"/>
        <v>2011</v>
      </c>
      <c r="C14" s="119">
        <f t="shared" si="0"/>
        <v>4750</v>
      </c>
      <c r="D14" s="119">
        <f t="shared" si="1"/>
        <v>5105.1262500000012</v>
      </c>
    </row>
    <row r="15" spans="1:4">
      <c r="A15" s="112">
        <v>7</v>
      </c>
      <c r="B15" s="112">
        <f t="shared" si="2"/>
        <v>2012</v>
      </c>
      <c r="C15" s="120">
        <f t="shared" si="0"/>
        <v>4900</v>
      </c>
      <c r="D15" s="120">
        <f t="shared" si="1"/>
        <v>5360.3825625000018</v>
      </c>
    </row>
    <row r="16" spans="1:4">
      <c r="A16" s="112">
        <v>8</v>
      </c>
      <c r="B16" s="112">
        <f t="shared" si="2"/>
        <v>2013</v>
      </c>
      <c r="C16" s="119">
        <f t="shared" si="0"/>
        <v>5050</v>
      </c>
      <c r="D16" s="119">
        <f t="shared" si="1"/>
        <v>5628.4016906250017</v>
      </c>
    </row>
    <row r="17" spans="1:4">
      <c r="A17" s="112">
        <v>9</v>
      </c>
      <c r="B17" s="112">
        <f t="shared" si="2"/>
        <v>2014</v>
      </c>
      <c r="C17" s="119">
        <f t="shared" si="0"/>
        <v>5200</v>
      </c>
      <c r="D17" s="119">
        <f t="shared" si="1"/>
        <v>5909.8217751562524</v>
      </c>
    </row>
    <row r="18" spans="1:4">
      <c r="A18" s="112">
        <v>10</v>
      </c>
      <c r="B18" s="112">
        <f t="shared" si="2"/>
        <v>2015</v>
      </c>
      <c r="C18" s="119">
        <f t="shared" si="0"/>
        <v>5350</v>
      </c>
      <c r="D18" s="119">
        <f t="shared" si="1"/>
        <v>6205.312863914065</v>
      </c>
    </row>
    <row r="19" spans="1:4">
      <c r="A19" s="112">
        <v>11</v>
      </c>
      <c r="B19" s="112">
        <f t="shared" si="2"/>
        <v>2016</v>
      </c>
      <c r="C19" s="119">
        <f t="shared" si="0"/>
        <v>5500</v>
      </c>
      <c r="D19" s="119">
        <f t="shared" si="1"/>
        <v>6515.5785071097689</v>
      </c>
    </row>
    <row r="20" spans="1:4">
      <c r="A20" s="112">
        <v>12</v>
      </c>
      <c r="B20" s="112">
        <f t="shared" si="2"/>
        <v>2017</v>
      </c>
      <c r="C20" s="119">
        <f t="shared" si="0"/>
        <v>5650</v>
      </c>
      <c r="D20" s="119">
        <f t="shared" si="1"/>
        <v>6841.3574324652573</v>
      </c>
    </row>
    <row r="21" spans="1:4">
      <c r="A21" s="112">
        <v>13</v>
      </c>
      <c r="B21" s="112">
        <f t="shared" si="2"/>
        <v>2018</v>
      </c>
      <c r="C21" s="119">
        <f t="shared" si="0"/>
        <v>5800</v>
      </c>
      <c r="D21" s="119">
        <f t="shared" si="1"/>
        <v>7183.4253040885205</v>
      </c>
    </row>
    <row r="22" spans="1:4">
      <c r="A22" s="112">
        <v>14</v>
      </c>
      <c r="B22" s="112">
        <f t="shared" si="2"/>
        <v>2019</v>
      </c>
      <c r="C22" s="119">
        <f t="shared" si="0"/>
        <v>5950</v>
      </c>
      <c r="D22" s="119">
        <f t="shared" si="1"/>
        <v>7542.5965692929467</v>
      </c>
    </row>
    <row r="23" spans="1:4">
      <c r="A23" s="112">
        <v>15</v>
      </c>
      <c r="B23" s="112">
        <f t="shared" si="2"/>
        <v>2020</v>
      </c>
      <c r="C23" s="119">
        <f t="shared" si="0"/>
        <v>6100</v>
      </c>
      <c r="D23" s="119">
        <f t="shared" si="1"/>
        <v>7919.726397757594</v>
      </c>
    </row>
    <row r="24" spans="1:4">
      <c r="A24" s="112">
        <v>16</v>
      </c>
      <c r="B24" s="112">
        <f t="shared" si="2"/>
        <v>2021</v>
      </c>
      <c r="C24" s="119">
        <f t="shared" si="0"/>
        <v>6250</v>
      </c>
      <c r="D24" s="119">
        <f t="shared" si="1"/>
        <v>8315.7127176454742</v>
      </c>
    </row>
    <row r="25" spans="1:4">
      <c r="A25" s="112">
        <v>17</v>
      </c>
      <c r="B25" s="112">
        <f t="shared" si="2"/>
        <v>2022</v>
      </c>
      <c r="C25" s="119">
        <f t="shared" si="0"/>
        <v>6400</v>
      </c>
      <c r="D25" s="119">
        <f t="shared" si="1"/>
        <v>8731.4983535277479</v>
      </c>
    </row>
  </sheetData>
  <phoneticPr fontId="0" type="noConversion"/>
  <pageMargins left="0.78740157499999996" right="0.78740157499999996" top="0.984251969" bottom="0.984251969" header="0.51181102300000003" footer="0.51181102300000003"/>
  <pageSetup paperSize="9" orientation="portrait" horizontalDpi="4294967292" verticalDpi="300" r:id="rId1"/>
  <headerFooter alignWithMargins="0">
    <oddHeader>&amp;C&amp;F      &amp;A</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B4" sqref="B4"/>
    </sheetView>
  </sheetViews>
  <sheetFormatPr baseColWidth="10" defaultRowHeight="12.75"/>
  <cols>
    <col min="1" max="1" width="20.28515625" customWidth="1"/>
    <col min="2" max="2" width="13.7109375" customWidth="1"/>
    <col min="4" max="4" width="12.42578125" customWidth="1"/>
    <col min="6" max="6" width="3.5703125" customWidth="1"/>
  </cols>
  <sheetData>
    <row r="1" spans="1:6">
      <c r="A1" s="8" t="s">
        <v>167</v>
      </c>
      <c r="B1" s="9"/>
      <c r="C1" s="9"/>
      <c r="D1" s="9"/>
      <c r="E1" s="9"/>
      <c r="F1" s="9"/>
    </row>
    <row r="2" spans="1:6">
      <c r="A2" s="8"/>
      <c r="B2" s="9"/>
      <c r="C2" s="9"/>
      <c r="D2" s="9"/>
      <c r="E2" s="9"/>
      <c r="F2" s="9"/>
    </row>
    <row r="3" spans="1:6" s="5" customFormat="1" ht="24.75" customHeight="1">
      <c r="A3" s="141"/>
      <c r="B3" s="142" t="s">
        <v>137</v>
      </c>
      <c r="C3" s="142" t="s">
        <v>137</v>
      </c>
      <c r="D3" s="142" t="s">
        <v>80</v>
      </c>
      <c r="E3" s="142" t="s">
        <v>148</v>
      </c>
      <c r="F3" s="9"/>
    </row>
    <row r="4" spans="1:6">
      <c r="A4" s="69" t="s">
        <v>31</v>
      </c>
      <c r="B4" s="70">
        <v>500</v>
      </c>
      <c r="C4" s="70">
        <v>500</v>
      </c>
      <c r="D4" s="70">
        <v>500</v>
      </c>
      <c r="E4" s="70">
        <v>500</v>
      </c>
      <c r="F4" s="9"/>
    </row>
    <row r="5" spans="1:6">
      <c r="A5" s="117" t="s">
        <v>168</v>
      </c>
      <c r="B5" s="71">
        <v>0.03</v>
      </c>
      <c r="C5" s="71">
        <v>0.03</v>
      </c>
      <c r="D5" s="71">
        <v>0.03</v>
      </c>
      <c r="E5" s="71">
        <v>0.03</v>
      </c>
      <c r="F5" s="9"/>
    </row>
    <row r="6" spans="1:6">
      <c r="A6" s="117" t="s">
        <v>28</v>
      </c>
      <c r="B6" s="72">
        <v>10</v>
      </c>
      <c r="C6" s="72">
        <v>10</v>
      </c>
      <c r="D6" s="72">
        <v>10</v>
      </c>
      <c r="E6" s="72">
        <v>10</v>
      </c>
      <c r="F6" s="9"/>
    </row>
    <row r="7" spans="1:6">
      <c r="A7" s="117" t="s">
        <v>139</v>
      </c>
      <c r="B7" s="72">
        <v>1</v>
      </c>
      <c r="C7" s="72">
        <v>12</v>
      </c>
      <c r="D7" s="74"/>
      <c r="E7" s="74"/>
      <c r="F7" s="9"/>
    </row>
    <row r="8" spans="1:6">
      <c r="A8" s="74"/>
      <c r="B8" s="74"/>
      <c r="C8" s="74"/>
      <c r="D8" s="74"/>
      <c r="E8" s="74"/>
      <c r="F8" s="9"/>
    </row>
    <row r="9" spans="1:6">
      <c r="A9" s="74" t="s">
        <v>44</v>
      </c>
      <c r="B9" s="74"/>
      <c r="C9" s="74"/>
      <c r="D9" s="74"/>
      <c r="E9" s="74"/>
      <c r="F9" s="9"/>
    </row>
    <row r="10" spans="1:6">
      <c r="A10" s="117" t="s">
        <v>30</v>
      </c>
      <c r="B10" s="143">
        <f>B4*(1+B5/B7)^(B6*B7)</f>
        <v>671.95818967206094</v>
      </c>
      <c r="C10" s="143">
        <f>C4*(1+C5/C7)^(C6*C7)</f>
        <v>674.6767735954129</v>
      </c>
      <c r="D10" s="143">
        <f>D4*(1+D5*D6)</f>
        <v>650</v>
      </c>
      <c r="E10" s="143">
        <f>E4*EXP(E5*E6)</f>
        <v>674.92940378800154</v>
      </c>
      <c r="F10" s="9"/>
    </row>
    <row r="11" spans="1:6">
      <c r="A11" s="48" t="s">
        <v>140</v>
      </c>
      <c r="B11" s="144">
        <f>((1+B5/B7)^B7-1)</f>
        <v>3.0000000000000027E-2</v>
      </c>
      <c r="C11" s="144">
        <f>((1+C5/C7)^C7-1)</f>
        <v>3.0415956913506736E-2</v>
      </c>
      <c r="D11" s="144">
        <f>(D10/D4)^(1/D6)-1</f>
        <v>2.6583631304232025E-2</v>
      </c>
      <c r="E11" s="144">
        <f>(E10/E4)^(1/E6)-1</f>
        <v>3.0454533953516938E-2</v>
      </c>
      <c r="F11" s="9"/>
    </row>
    <row r="12" spans="1:6">
      <c r="A12" s="9"/>
      <c r="B12" s="9"/>
      <c r="C12" s="9"/>
      <c r="D12" s="9"/>
      <c r="E12" s="9"/>
      <c r="F12" s="9"/>
    </row>
  </sheetData>
  <phoneticPr fontId="0" type="noConversion"/>
  <pageMargins left="0.78740157499999996" right="0.78740157499999996" top="0.984251969" bottom="0.984251969" header="0.51181102300000003" footer="0.51181102300000003"/>
  <pageSetup paperSize="9" orientation="portrait" horizontalDpi="4294967292" verticalDpi="300" r:id="rId1"/>
  <headerFooter alignWithMargins="0">
    <oddHeader>&amp;C&amp;F      &amp;A</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B2" sqref="B2"/>
    </sheetView>
  </sheetViews>
  <sheetFormatPr baseColWidth="10" defaultRowHeight="12.75"/>
  <cols>
    <col min="1" max="1" width="17" customWidth="1"/>
    <col min="2" max="2" width="12.42578125" customWidth="1"/>
    <col min="3" max="4" width="12.140625" customWidth="1"/>
  </cols>
  <sheetData>
    <row r="1" spans="1:5">
      <c r="A1" s="8" t="s">
        <v>157</v>
      </c>
      <c r="B1" s="9"/>
      <c r="C1" s="9"/>
      <c r="D1" s="9"/>
      <c r="E1" s="9"/>
    </row>
    <row r="2" spans="1:5">
      <c r="A2" s="9"/>
      <c r="B2" s="76" t="s">
        <v>238</v>
      </c>
      <c r="C2" s="76" t="s">
        <v>169</v>
      </c>
      <c r="D2" s="76" t="s">
        <v>170</v>
      </c>
      <c r="E2" s="9"/>
    </row>
    <row r="3" spans="1:5">
      <c r="A3" s="9" t="s">
        <v>31</v>
      </c>
      <c r="B3" s="73">
        <v>2000</v>
      </c>
      <c r="C3" s="73">
        <v>1000</v>
      </c>
      <c r="D3" s="73">
        <v>1500</v>
      </c>
      <c r="E3" s="9"/>
    </row>
    <row r="4" spans="1:5">
      <c r="A4" s="9" t="s">
        <v>30</v>
      </c>
      <c r="B4" s="73">
        <v>6000</v>
      </c>
      <c r="C4" s="73">
        <v>1200</v>
      </c>
      <c r="D4" s="73">
        <v>1900</v>
      </c>
      <c r="E4" s="9"/>
    </row>
    <row r="5" spans="1:5">
      <c r="A5" s="9" t="s">
        <v>34</v>
      </c>
      <c r="B5" s="72">
        <v>25</v>
      </c>
      <c r="C5" s="72">
        <v>3</v>
      </c>
      <c r="D5" s="72">
        <v>4</v>
      </c>
      <c r="E5" s="9"/>
    </row>
    <row r="6" spans="1:5">
      <c r="A6" s="9"/>
      <c r="B6" s="74"/>
      <c r="C6" s="74"/>
      <c r="D6" s="74"/>
      <c r="E6" s="9"/>
    </row>
    <row r="7" spans="1:5">
      <c r="A7" s="9" t="s">
        <v>121</v>
      </c>
      <c r="B7" s="74"/>
      <c r="C7" s="74"/>
      <c r="D7" s="74"/>
      <c r="E7" s="9"/>
    </row>
    <row r="8" spans="1:5">
      <c r="A8" s="9" t="s">
        <v>33</v>
      </c>
      <c r="B8" s="75">
        <f>(B4/B3)^(1/B5)-1</f>
        <v>4.4924351144087549E-2</v>
      </c>
      <c r="C8" s="75">
        <f>(C4/C3)^(1/C5)-1</f>
        <v>6.2658569182611146E-2</v>
      </c>
      <c r="D8" s="75">
        <f>(D4/D3)^(1/D5)-1</f>
        <v>6.0878347286942969E-2</v>
      </c>
      <c r="E8" s="9"/>
    </row>
    <row r="9" spans="1:5">
      <c r="A9" s="9"/>
      <c r="B9" s="9"/>
      <c r="C9" s="9"/>
      <c r="D9" s="9"/>
      <c r="E9" s="9"/>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oddHeader>&amp;A</oddHeader>
    <oddFooter>Seite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workbookViewId="0">
      <selection activeCell="D17" sqref="D17"/>
    </sheetView>
  </sheetViews>
  <sheetFormatPr baseColWidth="10" defaultRowHeight="12.75"/>
  <cols>
    <col min="1" max="1" width="25.7109375" customWidth="1"/>
    <col min="2" max="2" width="9.5703125" customWidth="1"/>
    <col min="3" max="3" width="14.5703125" customWidth="1"/>
    <col min="4" max="4" width="13.5703125" customWidth="1"/>
    <col min="5" max="5" width="10.28515625" customWidth="1"/>
  </cols>
  <sheetData>
    <row r="1" spans="1:6">
      <c r="A1" s="8" t="s">
        <v>387</v>
      </c>
      <c r="B1" s="9"/>
      <c r="C1" s="9"/>
      <c r="D1" s="9"/>
      <c r="E1" s="9"/>
      <c r="F1" s="9"/>
    </row>
    <row r="2" spans="1:6">
      <c r="A2" s="9"/>
      <c r="B2" s="9"/>
      <c r="C2" s="9"/>
      <c r="D2" s="9"/>
      <c r="E2" s="9"/>
      <c r="F2" s="9"/>
    </row>
    <row r="3" spans="1:6">
      <c r="A3" s="31" t="s">
        <v>171</v>
      </c>
      <c r="B3" s="78">
        <v>0.06</v>
      </c>
      <c r="C3" s="9"/>
      <c r="D3" s="9"/>
      <c r="E3" s="9"/>
      <c r="F3" s="9"/>
    </row>
    <row r="4" spans="1:6">
      <c r="A4" s="9" t="s">
        <v>172</v>
      </c>
      <c r="B4" s="9"/>
      <c r="C4" s="9"/>
      <c r="D4" s="9"/>
      <c r="E4" s="9"/>
      <c r="F4" s="9"/>
    </row>
    <row r="5" spans="1:6">
      <c r="A5" s="9" t="s">
        <v>173</v>
      </c>
      <c r="B5" s="77">
        <f>LN(2)/LN(1+B3)</f>
        <v>11.895661045941875</v>
      </c>
      <c r="C5" s="9" t="s">
        <v>174</v>
      </c>
      <c r="D5" s="9"/>
      <c r="E5" s="77">
        <f>70/B3/100</f>
        <v>11.666666666666668</v>
      </c>
      <c r="F5" s="9" t="s">
        <v>175</v>
      </c>
    </row>
    <row r="6" spans="1:6">
      <c r="A6" s="9" t="s">
        <v>176</v>
      </c>
      <c r="B6" s="77">
        <f>(LN(2)/LN(1+B3/12))/12</f>
        <v>11.581310134224728</v>
      </c>
      <c r="C6" s="9" t="s">
        <v>34</v>
      </c>
      <c r="D6" s="9"/>
      <c r="E6" s="9"/>
      <c r="F6" s="9"/>
    </row>
    <row r="7" spans="1:6">
      <c r="A7" s="9"/>
      <c r="B7" s="77"/>
      <c r="C7" s="9"/>
      <c r="D7" s="9"/>
      <c r="E7" s="9"/>
      <c r="F7" s="9"/>
    </row>
    <row r="8" spans="1:6">
      <c r="A8" s="8" t="s">
        <v>388</v>
      </c>
      <c r="B8" s="77"/>
      <c r="C8" s="9"/>
      <c r="D8" s="9"/>
      <c r="E8" s="9"/>
      <c r="F8" s="9"/>
    </row>
    <row r="9" spans="1:6">
      <c r="A9" s="9" t="s">
        <v>386</v>
      </c>
      <c r="B9" s="54">
        <f>12*((1+B3)^(1/12)-1)</f>
        <v>5.8410606784116581E-2</v>
      </c>
      <c r="C9" s="9" t="s">
        <v>177</v>
      </c>
      <c r="D9" s="9"/>
      <c r="E9" s="9"/>
      <c r="F9" s="9"/>
    </row>
    <row r="10" spans="1:6">
      <c r="A10" s="9"/>
      <c r="B10" s="9"/>
      <c r="C10" s="9"/>
      <c r="D10" s="9"/>
      <c r="E10" s="9"/>
      <c r="F10" s="9"/>
    </row>
  </sheetData>
  <phoneticPr fontId="0" type="noConversion"/>
  <pageMargins left="0.78740157499999996" right="0.78740157499999996" top="0.984251969" bottom="0.984251969" header="0.51181102300000003" footer="0.51181102300000003"/>
  <pageSetup paperSize="9" orientation="portrait" horizontalDpi="4294967292" verticalDpi="300" r:id="rId1"/>
  <headerFooter alignWithMargins="0">
    <oddHeader>&amp;C&amp;F      &amp;A</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showGridLines="0" workbookViewId="0">
      <selection activeCell="A25" sqref="A25"/>
    </sheetView>
  </sheetViews>
  <sheetFormatPr baseColWidth="10" defaultRowHeight="12.75"/>
  <cols>
    <col min="1" max="1" width="13.42578125" customWidth="1"/>
    <col min="2" max="3" width="6.85546875" customWidth="1"/>
    <col min="4" max="4" width="6.42578125" customWidth="1"/>
    <col min="5" max="5" width="7.140625" customWidth="1"/>
    <col min="6" max="8" width="6.42578125" customWidth="1"/>
    <col min="9" max="12" width="7.42578125" customWidth="1"/>
    <col min="15" max="15" width="15" customWidth="1"/>
  </cols>
  <sheetData>
    <row r="1" spans="1:27">
      <c r="A1" s="8" t="s">
        <v>377</v>
      </c>
      <c r="B1" s="9"/>
      <c r="C1" s="9"/>
      <c r="D1" s="9"/>
      <c r="E1" s="9"/>
      <c r="F1" s="9"/>
      <c r="G1" s="9"/>
      <c r="H1" s="9"/>
      <c r="I1" s="9"/>
      <c r="J1" s="9"/>
      <c r="K1" s="9"/>
      <c r="L1" s="9"/>
      <c r="M1" s="9"/>
      <c r="O1" s="8" t="s">
        <v>378</v>
      </c>
      <c r="P1" s="9"/>
      <c r="Q1" s="9"/>
      <c r="R1" s="9"/>
      <c r="S1" s="9"/>
      <c r="T1" s="9"/>
      <c r="U1" s="9"/>
      <c r="V1" s="9"/>
      <c r="W1" s="9"/>
      <c r="X1" s="9"/>
      <c r="Y1" s="9"/>
      <c r="Z1" s="9"/>
      <c r="AA1" s="9"/>
    </row>
    <row r="2" spans="1:27">
      <c r="A2" s="17">
        <v>1000</v>
      </c>
      <c r="B2" s="79" t="s">
        <v>142</v>
      </c>
      <c r="C2" s="80"/>
      <c r="D2" s="81"/>
      <c r="E2" s="9"/>
      <c r="F2" s="9"/>
      <c r="G2" s="9"/>
      <c r="H2" s="9"/>
      <c r="I2" s="9"/>
      <c r="J2" s="9"/>
      <c r="K2" s="9"/>
      <c r="L2" s="9"/>
      <c r="M2" s="9"/>
      <c r="O2" s="308">
        <v>200000</v>
      </c>
      <c r="P2" s="9" t="s">
        <v>142</v>
      </c>
      <c r="Q2" s="9"/>
      <c r="R2" s="9"/>
      <c r="S2" s="9"/>
      <c r="T2" s="9"/>
      <c r="U2" s="9"/>
      <c r="V2" s="9"/>
      <c r="W2" s="9"/>
      <c r="X2" s="9"/>
      <c r="Y2" s="9"/>
      <c r="Z2" s="9"/>
      <c r="AA2" s="9"/>
    </row>
    <row r="3" spans="1:27">
      <c r="A3" s="86">
        <v>10</v>
      </c>
      <c r="B3" s="61" t="s">
        <v>178</v>
      </c>
      <c r="C3" s="82"/>
      <c r="D3" s="62"/>
      <c r="E3" s="9"/>
      <c r="F3" s="9"/>
      <c r="G3" s="9"/>
      <c r="H3" s="9"/>
      <c r="I3" s="9"/>
      <c r="J3" s="9"/>
      <c r="K3" s="9"/>
      <c r="L3" s="9"/>
      <c r="M3" s="9"/>
      <c r="O3" s="309">
        <v>1.4999999999999999E-2</v>
      </c>
      <c r="P3" s="9" t="s">
        <v>27</v>
      </c>
      <c r="Q3" s="9"/>
      <c r="R3" s="9"/>
      <c r="S3" s="9"/>
      <c r="T3" s="9"/>
      <c r="U3" s="9"/>
      <c r="V3" s="9"/>
      <c r="W3" s="9"/>
      <c r="X3" s="9"/>
      <c r="Y3" s="9"/>
      <c r="Z3" s="9"/>
      <c r="AA3" s="9"/>
    </row>
    <row r="4" spans="1:27">
      <c r="A4" s="18">
        <v>0</v>
      </c>
      <c r="B4" s="79" t="s">
        <v>179</v>
      </c>
      <c r="C4" s="80"/>
      <c r="D4" s="80"/>
      <c r="E4" s="80"/>
      <c r="F4" s="80"/>
      <c r="G4" s="80"/>
      <c r="H4" s="80"/>
      <c r="I4" s="81"/>
      <c r="J4" s="9"/>
      <c r="K4" s="9"/>
      <c r="L4" s="9"/>
      <c r="M4" s="9"/>
      <c r="O4" s="309">
        <v>0.02</v>
      </c>
      <c r="P4" s="9" t="s">
        <v>370</v>
      </c>
      <c r="Q4" s="9"/>
      <c r="R4" s="307">
        <v>0.03</v>
      </c>
      <c r="S4" s="9" t="s">
        <v>376</v>
      </c>
      <c r="T4" s="9"/>
      <c r="U4" s="9"/>
      <c r="V4" s="9"/>
      <c r="W4" s="9"/>
      <c r="X4" s="9"/>
      <c r="Y4" s="9"/>
      <c r="Z4" s="9"/>
      <c r="AA4" s="9"/>
    </row>
    <row r="5" spans="1:27">
      <c r="A5" s="9"/>
      <c r="B5" s="9"/>
      <c r="C5" s="9"/>
      <c r="D5" s="9"/>
      <c r="E5" s="9"/>
      <c r="F5" s="9"/>
      <c r="G5" s="9"/>
      <c r="H5" s="9"/>
      <c r="I5" s="9"/>
      <c r="J5" s="9"/>
      <c r="K5" s="9"/>
      <c r="L5" s="9"/>
      <c r="M5" s="9"/>
      <c r="O5" s="310">
        <f>25%*(1+5.5%)</f>
        <v>0.26374999999999998</v>
      </c>
      <c r="P5" s="9" t="s">
        <v>182</v>
      </c>
      <c r="Q5" s="9"/>
      <c r="R5" s="9"/>
      <c r="S5" s="9"/>
      <c r="T5" s="9"/>
      <c r="U5" s="9"/>
      <c r="V5" s="9"/>
      <c r="W5" s="9"/>
      <c r="X5" s="9"/>
      <c r="Y5" s="9"/>
      <c r="Z5" s="9"/>
      <c r="AA5" s="9"/>
    </row>
    <row r="6" spans="1:27" ht="25.5" customHeight="1">
      <c r="A6" s="9"/>
      <c r="B6" s="9"/>
      <c r="C6" s="9"/>
      <c r="D6" s="9"/>
      <c r="E6" s="9"/>
      <c r="F6" s="9"/>
      <c r="G6" s="9"/>
      <c r="H6" s="9"/>
      <c r="I6" s="9"/>
      <c r="J6" s="9"/>
      <c r="K6" s="9"/>
      <c r="L6" s="9"/>
      <c r="M6" s="9"/>
      <c r="O6" s="308">
        <v>1602</v>
      </c>
      <c r="P6" s="9" t="s">
        <v>371</v>
      </c>
      <c r="Q6" s="9"/>
      <c r="R6" s="9"/>
      <c r="S6" s="9"/>
      <c r="T6" s="9"/>
      <c r="U6" s="9"/>
      <c r="V6" s="9"/>
      <c r="W6" s="9"/>
      <c r="X6" s="9"/>
      <c r="Y6" s="9"/>
      <c r="Z6" s="9"/>
      <c r="AA6" s="9"/>
    </row>
    <row r="7" spans="1:27">
      <c r="A7" s="9"/>
      <c r="B7" s="9"/>
      <c r="C7" s="9"/>
      <c r="D7" s="9"/>
      <c r="E7" s="9"/>
      <c r="F7" s="9"/>
      <c r="G7" s="9"/>
      <c r="H7" s="9"/>
      <c r="I7" s="9"/>
      <c r="J7" s="9"/>
      <c r="K7" s="9"/>
      <c r="L7" s="9"/>
      <c r="M7" s="9"/>
      <c r="O7" s="9"/>
      <c r="P7" s="9"/>
      <c r="Q7" s="9"/>
      <c r="R7" s="9"/>
      <c r="S7" s="9"/>
      <c r="T7" s="9"/>
      <c r="U7" s="9"/>
      <c r="V7" s="9"/>
      <c r="W7" s="9"/>
      <c r="X7" s="9"/>
      <c r="Y7" s="9"/>
      <c r="Z7" s="9"/>
      <c r="AA7" s="9"/>
    </row>
    <row r="8" spans="1:27">
      <c r="A8" s="9"/>
      <c r="B8" s="83" t="s">
        <v>180</v>
      </c>
      <c r="C8" s="84"/>
      <c r="D8" s="84"/>
      <c r="E8" s="84"/>
      <c r="F8" s="84"/>
      <c r="G8" s="84"/>
      <c r="H8" s="84"/>
      <c r="I8" s="84"/>
      <c r="J8" s="84"/>
      <c r="K8" s="84"/>
      <c r="L8" s="85"/>
      <c r="M8" s="9"/>
      <c r="O8" s="9"/>
      <c r="P8" s="9"/>
      <c r="Q8" s="9"/>
      <c r="R8" s="9"/>
      <c r="S8" s="9"/>
      <c r="T8" s="9"/>
      <c r="U8" s="9"/>
      <c r="V8" s="9"/>
      <c r="W8" s="9"/>
      <c r="X8" s="9"/>
      <c r="Y8" s="9"/>
      <c r="Z8" s="9"/>
      <c r="AA8" s="9"/>
    </row>
    <row r="9" spans="1:27" ht="38.25">
      <c r="A9" s="40" t="s">
        <v>181</v>
      </c>
      <c r="B9" s="140">
        <v>0</v>
      </c>
      <c r="C9" s="140">
        <v>0.01</v>
      </c>
      <c r="D9" s="29">
        <v>0.02</v>
      </c>
      <c r="E9" s="29">
        <v>0.03</v>
      </c>
      <c r="F9" s="29">
        <v>0.04</v>
      </c>
      <c r="G9" s="29">
        <v>0.05</v>
      </c>
      <c r="H9" s="29">
        <v>0.06</v>
      </c>
      <c r="I9" s="29">
        <v>7.0000000000000007E-2</v>
      </c>
      <c r="J9" s="29">
        <v>0.08</v>
      </c>
      <c r="K9" s="29">
        <v>0.09</v>
      </c>
      <c r="L9" s="29">
        <v>0.1</v>
      </c>
      <c r="M9" s="9"/>
      <c r="O9" s="10" t="s">
        <v>22</v>
      </c>
      <c r="P9" s="311" t="s">
        <v>373</v>
      </c>
      <c r="Q9" s="311" t="s">
        <v>374</v>
      </c>
      <c r="R9" s="311" t="s">
        <v>372</v>
      </c>
      <c r="S9" s="311" t="s">
        <v>375</v>
      </c>
      <c r="T9" s="9"/>
      <c r="U9" s="9"/>
      <c r="V9" s="9"/>
      <c r="W9" s="9"/>
      <c r="X9" s="9"/>
      <c r="Y9" s="9"/>
      <c r="Z9" s="9"/>
      <c r="AA9" s="9"/>
    </row>
    <row r="10" spans="1:27" ht="13.5" customHeight="1">
      <c r="A10" s="139">
        <v>0</v>
      </c>
      <c r="B10" s="41">
        <f t="shared" ref="B10:L20" si="0">$A$2*((1+(1-$A$4)*$A10)/(1+B$9))^$A$3</f>
        <v>1000</v>
      </c>
      <c r="C10" s="41">
        <f t="shared" si="0"/>
        <v>905.28695469298304</v>
      </c>
      <c r="D10" s="41">
        <f t="shared" si="0"/>
        <v>820.34829987515502</v>
      </c>
      <c r="E10" s="41">
        <f t="shared" si="0"/>
        <v>744.0939148967251</v>
      </c>
      <c r="F10" s="41">
        <f t="shared" si="0"/>
        <v>675.56416882579822</v>
      </c>
      <c r="G10" s="41">
        <f t="shared" si="0"/>
        <v>613.91325354075911</v>
      </c>
      <c r="H10" s="41">
        <f t="shared" si="0"/>
        <v>558.39477691511752</v>
      </c>
      <c r="I10" s="41">
        <f t="shared" si="0"/>
        <v>508.34929213471804</v>
      </c>
      <c r="J10" s="41">
        <f t="shared" si="0"/>
        <v>463.19348808468408</v>
      </c>
      <c r="K10" s="41">
        <f t="shared" si="0"/>
        <v>422.41080689568895</v>
      </c>
      <c r="L10" s="41">
        <f t="shared" si="0"/>
        <v>385.54328942953151</v>
      </c>
      <c r="M10" s="9"/>
      <c r="O10" s="49">
        <v>0</v>
      </c>
      <c r="P10" s="11">
        <f>O2</f>
        <v>200000</v>
      </c>
      <c r="Q10" s="11">
        <f>O2</f>
        <v>200000</v>
      </c>
      <c r="R10" s="11">
        <f>Q10/((1+$O$4)^O10)</f>
        <v>200000</v>
      </c>
      <c r="S10" s="11">
        <f>Q10/((1+$R$4)^O10)</f>
        <v>200000</v>
      </c>
      <c r="T10" s="141"/>
      <c r="U10" s="141"/>
      <c r="V10" s="141"/>
      <c r="W10" s="141"/>
      <c r="X10" s="9"/>
      <c r="Y10" s="9"/>
      <c r="Z10" s="9"/>
      <c r="AA10" s="9"/>
    </row>
    <row r="11" spans="1:27">
      <c r="A11" s="139">
        <v>0.01</v>
      </c>
      <c r="B11" s="41">
        <f t="shared" si="0"/>
        <v>1104.6221254112047</v>
      </c>
      <c r="C11" s="41">
        <f t="shared" si="0"/>
        <v>1000</v>
      </c>
      <c r="D11" s="41">
        <f t="shared" si="0"/>
        <v>906.17488258556261</v>
      </c>
      <c r="E11" s="41">
        <f t="shared" si="0"/>
        <v>821.9426017787647</v>
      </c>
      <c r="F11" s="41">
        <f t="shared" si="0"/>
        <v>746.2431280200077</v>
      </c>
      <c r="G11" s="41">
        <f t="shared" si="0"/>
        <v>678.14216294430071</v>
      </c>
      <c r="H11" s="41">
        <f t="shared" si="0"/>
        <v>616.8152252944933</v>
      </c>
      <c r="I11" s="41">
        <f t="shared" si="0"/>
        <v>561.53387552913341</v>
      </c>
      <c r="J11" s="41">
        <f t="shared" si="0"/>
        <v>511.65377528473334</v>
      </c>
      <c r="K11" s="41">
        <f t="shared" si="0"/>
        <v>466.60432330977744</v>
      </c>
      <c r="L11" s="41">
        <f t="shared" si="0"/>
        <v>425.87964780767606</v>
      </c>
      <c r="M11" s="9"/>
      <c r="O11" s="49">
        <v>1</v>
      </c>
      <c r="P11" s="11">
        <f>P10*(1+$O$3)</f>
        <v>202999.99999999997</v>
      </c>
      <c r="Q11" s="11">
        <f>Q10*(1+$O$3)-MAX(Q10*$O$3-$O$6,0)*$O$5</f>
        <v>202631.27749999997</v>
      </c>
      <c r="R11" s="11">
        <f t="shared" ref="R11:R25" si="1">Q11/((1+$O$4)^O11)</f>
        <v>198658.1151960784</v>
      </c>
      <c r="S11" s="11">
        <f t="shared" ref="S11:S25" si="2">Q11/((1+$R$4)^O11)</f>
        <v>196729.39563106792</v>
      </c>
      <c r="T11" s="98"/>
      <c r="U11" s="98"/>
      <c r="V11" s="98"/>
      <c r="W11" s="9"/>
      <c r="X11" s="9"/>
      <c r="Y11" s="9"/>
      <c r="Z11" s="9"/>
      <c r="AA11" s="9"/>
    </row>
    <row r="12" spans="1:27">
      <c r="A12" s="139">
        <v>0.02</v>
      </c>
      <c r="B12" s="41">
        <f t="shared" si="0"/>
        <v>1218.9944199947572</v>
      </c>
      <c r="C12" s="41">
        <f t="shared" si="0"/>
        <v>1103.5397462647929</v>
      </c>
      <c r="D12" s="41">
        <f t="shared" si="0"/>
        <v>1000</v>
      </c>
      <c r="E12" s="41">
        <f t="shared" si="0"/>
        <v>907.0463302111616</v>
      </c>
      <c r="F12" s="41">
        <f t="shared" si="0"/>
        <v>823.50895214704462</v>
      </c>
      <c r="G12" s="41">
        <f t="shared" si="0"/>
        <v>748.35683042701214</v>
      </c>
      <c r="H12" s="41">
        <f t="shared" si="0"/>
        <v>680.68011721374626</v>
      </c>
      <c r="I12" s="41">
        <f t="shared" si="0"/>
        <v>619.67495052050583</v>
      </c>
      <c r="J12" s="41">
        <f t="shared" si="0"/>
        <v>564.63027735313835</v>
      </c>
      <c r="K12" s="41">
        <f t="shared" si="0"/>
        <v>514.91641655132753</v>
      </c>
      <c r="L12" s="41">
        <f t="shared" si="0"/>
        <v>469.97511848102266</v>
      </c>
      <c r="M12" s="9"/>
      <c r="O12" s="49">
        <v>2</v>
      </c>
      <c r="P12" s="11">
        <f t="shared" ref="P12:P25" si="3">P11*(1+$O$3)</f>
        <v>206044.99999999994</v>
      </c>
      <c r="Q12" s="11">
        <f t="shared" ref="Q12:Q25" si="4">Q11*(1+$O$3)-MAX(Q11*$O$3-$O$6,0)*$O$5</f>
        <v>205291.61417089056</v>
      </c>
      <c r="R12" s="11">
        <f t="shared" si="1"/>
        <v>197319.89059101362</v>
      </c>
      <c r="S12" s="11">
        <f t="shared" si="2"/>
        <v>193507.03569694652</v>
      </c>
      <c r="T12" s="98"/>
      <c r="U12" s="98"/>
      <c r="V12" s="98"/>
      <c r="W12" s="9"/>
      <c r="X12" s="9"/>
      <c r="Y12" s="9"/>
      <c r="Z12" s="9"/>
      <c r="AA12" s="9"/>
    </row>
    <row r="13" spans="1:27">
      <c r="A13" s="139">
        <v>0.03</v>
      </c>
      <c r="B13" s="41">
        <f t="shared" si="0"/>
        <v>1343.9163793441219</v>
      </c>
      <c r="C13" s="41">
        <f t="shared" si="0"/>
        <v>1216.6299664184605</v>
      </c>
      <c r="D13" s="41">
        <f t="shared" si="0"/>
        <v>1102.4795169693239</v>
      </c>
      <c r="E13" s="41">
        <f t="shared" si="0"/>
        <v>1000</v>
      </c>
      <c r="F13" s="41">
        <f t="shared" si="0"/>
        <v>907.90175178298909</v>
      </c>
      <c r="G13" s="41">
        <f t="shared" si="0"/>
        <v>825.04807692986685</v>
      </c>
      <c r="H13" s="41">
        <f t="shared" si="0"/>
        <v>750.43588683643475</v>
      </c>
      <c r="I13" s="41">
        <f t="shared" si="0"/>
        <v>683.17894012783734</v>
      </c>
      <c r="J13" s="41">
        <f t="shared" si="0"/>
        <v>622.49331544254403</v>
      </c>
      <c r="K13" s="41">
        <f t="shared" si="0"/>
        <v>567.68480219908349</v>
      </c>
      <c r="L13" s="41">
        <f t="shared" si="0"/>
        <v>518.13794161055876</v>
      </c>
      <c r="M13" s="9"/>
      <c r="O13" s="49">
        <v>3</v>
      </c>
      <c r="P13" s="11">
        <f t="shared" si="3"/>
        <v>209135.67499999993</v>
      </c>
      <c r="Q13" s="11">
        <f t="shared" si="4"/>
        <v>207981.33093489031</v>
      </c>
      <c r="R13" s="11">
        <f t="shared" si="1"/>
        <v>195985.45330876729</v>
      </c>
      <c r="S13" s="11">
        <f t="shared" si="2"/>
        <v>190332.38030623415</v>
      </c>
      <c r="T13" s="98"/>
      <c r="U13" s="98"/>
      <c r="V13" s="98"/>
      <c r="W13" s="9"/>
      <c r="X13" s="9"/>
      <c r="Y13" s="9"/>
      <c r="Z13" s="9"/>
      <c r="AA13" s="9"/>
    </row>
    <row r="14" spans="1:27">
      <c r="A14" s="139">
        <v>0.04</v>
      </c>
      <c r="B14" s="41">
        <f t="shared" si="0"/>
        <v>1480.2442849183446</v>
      </c>
      <c r="C14" s="41">
        <f t="shared" si="0"/>
        <v>1340.0458408954212</v>
      </c>
      <c r="D14" s="41">
        <f t="shared" si="0"/>
        <v>1214.3158825326773</v>
      </c>
      <c r="E14" s="41">
        <f t="shared" si="0"/>
        <v>1101.4407649683944</v>
      </c>
      <c r="F14" s="41">
        <f t="shared" si="0"/>
        <v>1000</v>
      </c>
      <c r="G14" s="41">
        <f t="shared" si="0"/>
        <v>908.74158498933582</v>
      </c>
      <c r="H14" s="41">
        <f t="shared" si="0"/>
        <v>826.56067725685716</v>
      </c>
      <c r="I14" s="41">
        <f t="shared" si="0"/>
        <v>752.48113442470174</v>
      </c>
      <c r="J14" s="41">
        <f t="shared" si="0"/>
        <v>685.63951354874666</v>
      </c>
      <c r="K14" s="41">
        <f t="shared" si="0"/>
        <v>625.27118279508954</v>
      </c>
      <c r="L14" s="41">
        <f t="shared" si="0"/>
        <v>570.69825076668326</v>
      </c>
      <c r="M14" s="9"/>
      <c r="O14" s="49">
        <v>4</v>
      </c>
      <c r="P14" s="11">
        <f t="shared" si="3"/>
        <v>212272.7101249999</v>
      </c>
      <c r="Q14" s="11">
        <f t="shared" si="4"/>
        <v>210700.75225840247</v>
      </c>
      <c r="R14" s="11">
        <f t="shared" si="1"/>
        <v>194654.92623427085</v>
      </c>
      <c r="S14" s="11">
        <f t="shared" si="2"/>
        <v>187204.88936768295</v>
      </c>
      <c r="T14" s="98"/>
      <c r="U14" s="98"/>
      <c r="V14" s="98"/>
      <c r="W14" s="9"/>
      <c r="X14" s="9"/>
      <c r="Y14" s="9"/>
      <c r="Z14" s="9"/>
      <c r="AA14" s="9"/>
    </row>
    <row r="15" spans="1:27">
      <c r="A15" s="139">
        <v>0.05</v>
      </c>
      <c r="B15" s="41">
        <f t="shared" si="0"/>
        <v>1628.8946267774415</v>
      </c>
      <c r="C15" s="41">
        <f t="shared" si="0"/>
        <v>1474.617056191114</v>
      </c>
      <c r="D15" s="41">
        <f t="shared" si="0"/>
        <v>1336.2609377526508</v>
      </c>
      <c r="E15" s="41">
        <f t="shared" si="0"/>
        <v>1212.0505797930659</v>
      </c>
      <c r="F15" s="41">
        <f t="shared" si="0"/>
        <v>1100.4228446437116</v>
      </c>
      <c r="G15" s="41">
        <f t="shared" si="0"/>
        <v>1000</v>
      </c>
      <c r="H15" s="41">
        <f t="shared" si="0"/>
        <v>909.56625173762416</v>
      </c>
      <c r="I15" s="41">
        <f t="shared" si="0"/>
        <v>828.04743048435796</v>
      </c>
      <c r="J15" s="41">
        <f t="shared" si="0"/>
        <v>754.49338389944307</v>
      </c>
      <c r="K15" s="41">
        <f t="shared" si="0"/>
        <v>688.06269364511161</v>
      </c>
      <c r="L15" s="41">
        <f t="shared" si="0"/>
        <v>628.00939254186392</v>
      </c>
      <c r="M15" s="9"/>
      <c r="O15" s="49">
        <v>5</v>
      </c>
      <c r="P15" s="11">
        <f t="shared" si="3"/>
        <v>215456.80077687488</v>
      </c>
      <c r="Q15" s="11">
        <f t="shared" si="4"/>
        <v>213450.20619115618</v>
      </c>
      <c r="R15" s="11">
        <f t="shared" si="1"/>
        <v>193328.4281118784</v>
      </c>
      <c r="S15" s="11">
        <f t="shared" si="2"/>
        <v>184124.0228891024</v>
      </c>
      <c r="T15" s="98"/>
      <c r="U15" s="98"/>
      <c r="V15" s="98"/>
      <c r="W15" s="9"/>
      <c r="X15" s="9"/>
      <c r="Y15" s="9"/>
      <c r="Z15" s="9"/>
      <c r="AA15" s="9"/>
    </row>
    <row r="16" spans="1:27">
      <c r="A16" s="139">
        <v>0.06</v>
      </c>
      <c r="B16" s="41">
        <f t="shared" si="0"/>
        <v>1790.8476965428547</v>
      </c>
      <c r="C16" s="41">
        <f t="shared" si="0"/>
        <v>1621.2310575222234</v>
      </c>
      <c r="D16" s="41">
        <f t="shared" si="0"/>
        <v>1469.1188631942694</v>
      </c>
      <c r="E16" s="41">
        <f t="shared" si="0"/>
        <v>1332.5588735043539</v>
      </c>
      <c r="F16" s="41">
        <f t="shared" si="0"/>
        <v>1209.8325356085686</v>
      </c>
      <c r="G16" s="41">
        <f t="shared" si="0"/>
        <v>1099.4251359805978</v>
      </c>
      <c r="H16" s="41">
        <f t="shared" si="0"/>
        <v>1000</v>
      </c>
      <c r="I16" s="41">
        <f t="shared" si="0"/>
        <v>910.37615885864943</v>
      </c>
      <c r="J16" s="41">
        <f t="shared" si="0"/>
        <v>829.50899119010717</v>
      </c>
      <c r="K16" s="41">
        <f t="shared" si="0"/>
        <v>756.47342052395277</v>
      </c>
      <c r="L16" s="41">
        <f t="shared" si="0"/>
        <v>690.44931179243179</v>
      </c>
      <c r="M16" s="9"/>
      <c r="O16" s="49">
        <v>6</v>
      </c>
      <c r="P16" s="11">
        <f t="shared" si="3"/>
        <v>218688.65278852798</v>
      </c>
      <c r="Q16" s="11">
        <f t="shared" si="4"/>
        <v>216230.02440577972</v>
      </c>
      <c r="R16" s="11">
        <f t="shared" si="1"/>
        <v>192006.07364175425</v>
      </c>
      <c r="S16" s="11">
        <f t="shared" si="2"/>
        <v>181089.24126216289</v>
      </c>
      <c r="T16" s="98"/>
      <c r="U16" s="98"/>
      <c r="V16" s="98"/>
      <c r="W16" s="9"/>
      <c r="X16" s="9"/>
      <c r="Y16" s="9"/>
      <c r="Z16" s="9"/>
      <c r="AA16" s="9"/>
    </row>
    <row r="17" spans="1:27">
      <c r="A17" s="139">
        <v>7.0000000000000007E-2</v>
      </c>
      <c r="B17" s="41">
        <f t="shared" si="0"/>
        <v>1967.1513572895656</v>
      </c>
      <c r="C17" s="41">
        <f t="shared" si="0"/>
        <v>1780.8364616608389</v>
      </c>
      <c r="D17" s="41">
        <f t="shared" si="0"/>
        <v>1613.7492715496003</v>
      </c>
      <c r="E17" s="41">
        <f t="shared" si="0"/>
        <v>1463.7453546399988</v>
      </c>
      <c r="F17" s="41">
        <f t="shared" si="0"/>
        <v>1328.9369716418687</v>
      </c>
      <c r="G17" s="41">
        <f t="shared" si="0"/>
        <v>1207.6602899607569</v>
      </c>
      <c r="H17" s="41">
        <f t="shared" si="0"/>
        <v>1098.4470433119802</v>
      </c>
      <c r="I17" s="41">
        <f t="shared" si="0"/>
        <v>1000</v>
      </c>
      <c r="J17" s="41">
        <f t="shared" si="0"/>
        <v>911.17169877347476</v>
      </c>
      <c r="K17" s="41">
        <f t="shared" si="0"/>
        <v>830.94599211863533</v>
      </c>
      <c r="L17" s="41">
        <f t="shared" si="0"/>
        <v>758.42200509518659</v>
      </c>
      <c r="M17" s="9"/>
      <c r="O17" s="49">
        <v>7</v>
      </c>
      <c r="P17" s="11">
        <f t="shared" si="3"/>
        <v>221968.98258035586</v>
      </c>
      <c r="Q17" s="11">
        <f t="shared" si="4"/>
        <v>219040.54223781102</v>
      </c>
      <c r="R17" s="11">
        <f t="shared" si="1"/>
        <v>190687.97357423732</v>
      </c>
      <c r="S17" s="11">
        <f t="shared" si="2"/>
        <v>178100.00553360948</v>
      </c>
      <c r="T17" s="98"/>
      <c r="U17" s="98"/>
      <c r="V17" s="98"/>
      <c r="W17" s="9"/>
      <c r="X17" s="9"/>
      <c r="Y17" s="9"/>
      <c r="Z17" s="9"/>
      <c r="AA17" s="9"/>
    </row>
    <row r="18" spans="1:27">
      <c r="A18" s="139">
        <v>0.08</v>
      </c>
      <c r="B18" s="41">
        <f t="shared" si="0"/>
        <v>2158.9249972727876</v>
      </c>
      <c r="C18" s="41">
        <f t="shared" si="0"/>
        <v>1954.44663619164</v>
      </c>
      <c r="D18" s="41">
        <f t="shared" si="0"/>
        <v>1771.0704510707055</v>
      </c>
      <c r="E18" s="41">
        <f t="shared" si="0"/>
        <v>1606.4429531891085</v>
      </c>
      <c r="F18" s="41">
        <f t="shared" si="0"/>
        <v>1458.4923713398318</v>
      </c>
      <c r="G18" s="41">
        <f t="shared" si="0"/>
        <v>1325.3926692262132</v>
      </c>
      <c r="H18" s="41">
        <f t="shared" si="0"/>
        <v>1205.5324422286101</v>
      </c>
      <c r="I18" s="41">
        <f t="shared" si="0"/>
        <v>1097.48799413557</v>
      </c>
      <c r="J18" s="41">
        <f t="shared" si="0"/>
        <v>1000</v>
      </c>
      <c r="K18" s="41">
        <f t="shared" si="0"/>
        <v>911.95325012527076</v>
      </c>
      <c r="L18" s="41">
        <f t="shared" si="0"/>
        <v>832.35904508019303</v>
      </c>
      <c r="M18" s="9"/>
      <c r="O18" s="49">
        <v>8</v>
      </c>
      <c r="P18" s="11">
        <f t="shared" si="3"/>
        <v>225298.51731906118</v>
      </c>
      <c r="Q18" s="11">
        <f t="shared" si="4"/>
        <v>221882.09872614982</v>
      </c>
      <c r="R18" s="11">
        <f t="shared" si="1"/>
        <v>189374.23480222261</v>
      </c>
      <c r="S18" s="11">
        <f t="shared" si="2"/>
        <v>175155.77766337903</v>
      </c>
      <c r="T18" s="98"/>
      <c r="U18" s="98"/>
      <c r="V18" s="98"/>
      <c r="W18" s="9"/>
      <c r="X18" s="9"/>
      <c r="Y18" s="9"/>
      <c r="Z18" s="9"/>
      <c r="AA18" s="9"/>
    </row>
    <row r="19" spans="1:27">
      <c r="A19" s="139">
        <v>0.09</v>
      </c>
      <c r="B19" s="41">
        <f t="shared" si="0"/>
        <v>2367.3636745921185</v>
      </c>
      <c r="C19" s="41">
        <f t="shared" si="0"/>
        <v>2143.1434516222889</v>
      </c>
      <c r="D19" s="41">
        <f t="shared" si="0"/>
        <v>1942.0627656378424</v>
      </c>
      <c r="E19" s="41">
        <f t="shared" si="0"/>
        <v>1761.5409046115458</v>
      </c>
      <c r="F19" s="41">
        <f t="shared" si="0"/>
        <v>1599.3060731342143</v>
      </c>
      <c r="G19" s="41">
        <f t="shared" si="0"/>
        <v>1453.3559357830547</v>
      </c>
      <c r="H19" s="41">
        <f t="shared" si="0"/>
        <v>1321.9235109508206</v>
      </c>
      <c r="I19" s="41">
        <f t="shared" si="0"/>
        <v>1203.4476482043474</v>
      </c>
      <c r="J19" s="41">
        <f t="shared" si="0"/>
        <v>1096.5474379992993</v>
      </c>
      <c r="K19" s="41">
        <f t="shared" si="0"/>
        <v>1000</v>
      </c>
      <c r="L19" s="41">
        <f t="shared" si="0"/>
        <v>912.72117837822782</v>
      </c>
      <c r="M19" s="9"/>
      <c r="O19" s="49">
        <v>9</v>
      </c>
      <c r="P19" s="11">
        <f t="shared" si="3"/>
        <v>228677.99507884707</v>
      </c>
      <c r="Q19" s="11">
        <f t="shared" si="4"/>
        <v>224755.03665395672</v>
      </c>
      <c r="R19" s="11">
        <f t="shared" si="1"/>
        <v>188064.96045160064</v>
      </c>
      <c r="S19" s="11">
        <f t="shared" si="2"/>
        <v>172256.02077009762</v>
      </c>
      <c r="T19" s="98"/>
      <c r="U19" s="98"/>
      <c r="V19" s="98"/>
      <c r="W19" s="9"/>
      <c r="X19" s="9"/>
      <c r="Y19" s="9"/>
      <c r="Z19" s="9"/>
      <c r="AA19" s="9"/>
    </row>
    <row r="20" spans="1:27">
      <c r="A20" s="139">
        <v>0.1</v>
      </c>
      <c r="B20" s="41">
        <f t="shared" si="0"/>
        <v>2593.7424601000021</v>
      </c>
      <c r="C20" s="41">
        <f t="shared" si="0"/>
        <v>2348.0812129618162</v>
      </c>
      <c r="D20" s="41">
        <f t="shared" si="0"/>
        <v>2127.7722174570413</v>
      </c>
      <c r="E20" s="41">
        <f t="shared" si="0"/>
        <v>1929.9879813696712</v>
      </c>
      <c r="F20" s="41">
        <f t="shared" si="0"/>
        <v>1752.2394692056391</v>
      </c>
      <c r="G20" s="41">
        <f t="shared" si="0"/>
        <v>1592.3328725268045</v>
      </c>
      <c r="H20" s="41">
        <f t="shared" si="0"/>
        <v>1448.3322423828097</v>
      </c>
      <c r="I20" s="41">
        <f t="shared" si="0"/>
        <v>1318.5271435715983</v>
      </c>
      <c r="J20" s="41">
        <f t="shared" si="0"/>
        <v>1201.4046172870712</v>
      </c>
      <c r="K20" s="41">
        <f t="shared" si="0"/>
        <v>1095.6248454504505</v>
      </c>
      <c r="L20" s="41">
        <f t="shared" si="0"/>
        <v>1000</v>
      </c>
      <c r="M20" s="9"/>
      <c r="O20" s="49">
        <v>10</v>
      </c>
      <c r="P20" s="11">
        <f t="shared" si="3"/>
        <v>232108.16500502976</v>
      </c>
      <c r="Q20" s="11">
        <f t="shared" si="4"/>
        <v>227659.70259000381</v>
      </c>
      <c r="R20" s="11">
        <f t="shared" si="1"/>
        <v>186760.24996979311</v>
      </c>
      <c r="S20" s="11">
        <f t="shared" si="2"/>
        <v>169400.19936442006</v>
      </c>
      <c r="T20" s="98"/>
      <c r="U20" s="98"/>
      <c r="V20" s="98"/>
      <c r="W20" s="9"/>
      <c r="X20" s="9"/>
      <c r="Y20" s="9"/>
      <c r="Z20" s="9"/>
      <c r="AA20" s="9"/>
    </row>
    <row r="21" spans="1:27">
      <c r="A21" s="9"/>
      <c r="B21" s="9"/>
      <c r="C21" s="9"/>
      <c r="D21" s="9"/>
      <c r="E21" s="9"/>
      <c r="F21" s="9"/>
      <c r="G21" s="9"/>
      <c r="H21" s="9"/>
      <c r="I21" s="9"/>
      <c r="J21" s="9"/>
      <c r="K21" s="9"/>
      <c r="L21" s="9"/>
      <c r="M21" s="9"/>
      <c r="O21" s="49">
        <v>11</v>
      </c>
      <c r="P21" s="11">
        <f t="shared" si="3"/>
        <v>235589.78748010518</v>
      </c>
      <c r="Q21" s="11">
        <f t="shared" si="4"/>
        <v>230596.44693048217</v>
      </c>
      <c r="R21" s="11">
        <f t="shared" si="1"/>
        <v>185460.19921242408</v>
      </c>
      <c r="S21" s="11">
        <f t="shared" si="2"/>
        <v>166587.77957065767</v>
      </c>
      <c r="T21" s="98"/>
      <c r="U21" s="98"/>
      <c r="V21" s="98"/>
      <c r="W21" s="9"/>
      <c r="X21" s="9"/>
      <c r="Y21" s="9"/>
      <c r="Z21" s="9"/>
      <c r="AA21" s="9"/>
    </row>
    <row r="22" spans="1:27">
      <c r="O22" s="49">
        <v>12</v>
      </c>
      <c r="P22" s="11">
        <f t="shared" si="3"/>
        <v>239123.63429230673</v>
      </c>
      <c r="Q22" s="11">
        <f t="shared" si="4"/>
        <v>233565.62394127066</v>
      </c>
      <c r="R22" s="11">
        <f t="shared" si="1"/>
        <v>184164.90052816345</v>
      </c>
      <c r="S22" s="11">
        <f t="shared" si="2"/>
        <v>163818.22933712546</v>
      </c>
      <c r="T22" s="98"/>
      <c r="U22" s="98"/>
      <c r="V22" s="98"/>
      <c r="W22" s="9"/>
      <c r="X22" s="9"/>
      <c r="Y22" s="9"/>
      <c r="Z22" s="9"/>
      <c r="AA22" s="9"/>
    </row>
    <row r="23" spans="1:27">
      <c r="O23" s="49">
        <v>13</v>
      </c>
      <c r="P23" s="11">
        <f t="shared" si="3"/>
        <v>242710.48880669131</v>
      </c>
      <c r="Q23" s="11">
        <f t="shared" si="4"/>
        <v>236567.59180067203</v>
      </c>
      <c r="R23" s="11">
        <f t="shared" si="1"/>
        <v>182874.4428417813</v>
      </c>
      <c r="S23" s="11">
        <f t="shared" si="2"/>
        <v>161091.01863562674</v>
      </c>
      <c r="T23" s="98"/>
      <c r="U23" s="98"/>
      <c r="V23" s="98"/>
      <c r="W23" s="9"/>
      <c r="X23" s="9"/>
      <c r="Y23" s="9"/>
      <c r="Z23" s="9"/>
      <c r="AA23" s="9"/>
    </row>
    <row r="24" spans="1:27">
      <c r="O24" s="49">
        <v>14</v>
      </c>
      <c r="P24" s="11">
        <f t="shared" si="3"/>
        <v>246351.14613879166</v>
      </c>
      <c r="Q24" s="11">
        <f t="shared" si="4"/>
        <v>239602.7126426207</v>
      </c>
      <c r="R24" s="11">
        <f t="shared" si="1"/>
        <v>181588.91173544701</v>
      </c>
      <c r="S24" s="11">
        <f t="shared" si="2"/>
        <v>158405.61965047853</v>
      </c>
      <c r="T24" s="98"/>
      <c r="U24" s="98"/>
      <c r="V24" s="98"/>
      <c r="W24" s="9"/>
      <c r="X24" s="9"/>
      <c r="Y24" s="9"/>
      <c r="Z24" s="9"/>
      <c r="AA24" s="9"/>
    </row>
    <row r="25" spans="1:27">
      <c r="O25" s="49">
        <v>15</v>
      </c>
      <c r="P25" s="11">
        <f t="shared" si="3"/>
        <v>250046.4133308735</v>
      </c>
      <c r="Q25" s="11">
        <f t="shared" si="4"/>
        <v>242671.35260036762</v>
      </c>
      <c r="R25" s="11">
        <f t="shared" si="1"/>
        <v>180308.38952831092</v>
      </c>
      <c r="S25" s="11">
        <f t="shared" si="2"/>
        <v>155761.5069574675</v>
      </c>
      <c r="T25" s="98"/>
      <c r="U25" s="98"/>
      <c r="V25" s="98"/>
      <c r="W25" s="9"/>
      <c r="X25" s="9"/>
      <c r="Y25" s="9"/>
      <c r="Z25" s="9"/>
      <c r="AA25" s="9"/>
    </row>
    <row r="26" spans="1:27">
      <c r="A26" t="s">
        <v>384</v>
      </c>
      <c r="O26" s="9"/>
      <c r="P26" s="9"/>
      <c r="Q26" s="9"/>
      <c r="R26" s="9"/>
      <c r="S26" s="9"/>
      <c r="T26" s="9"/>
      <c r="U26" s="9"/>
      <c r="V26" s="9"/>
      <c r="W26" s="9"/>
      <c r="X26" s="9"/>
      <c r="Y26" s="9"/>
      <c r="Z26" s="9"/>
      <c r="AA26" s="9"/>
    </row>
    <row r="27" spans="1:27">
      <c r="A27">
        <v>20</v>
      </c>
      <c r="B27" t="s">
        <v>379</v>
      </c>
      <c r="C27" t="s">
        <v>380</v>
      </c>
      <c r="D27" s="312">
        <v>0.02</v>
      </c>
      <c r="E27" t="s">
        <v>381</v>
      </c>
      <c r="J27" s="312">
        <v>0.02</v>
      </c>
      <c r="K27" t="s">
        <v>382</v>
      </c>
      <c r="O27" s="9"/>
      <c r="P27" s="9"/>
      <c r="Q27" s="9"/>
      <c r="R27" s="9"/>
      <c r="S27" s="9"/>
      <c r="T27" s="9"/>
      <c r="U27" s="9"/>
      <c r="V27" s="9"/>
      <c r="W27" s="9"/>
      <c r="X27" s="9"/>
      <c r="Y27" s="9"/>
      <c r="Z27" s="9"/>
      <c r="AA27" s="9"/>
    </row>
    <row r="28" spans="1:27" ht="24.75" customHeight="1">
      <c r="A28">
        <v>100000</v>
      </c>
      <c r="B28" t="s">
        <v>383</v>
      </c>
      <c r="O28" s="9"/>
      <c r="P28" s="9"/>
      <c r="Q28" s="9"/>
      <c r="R28" s="9"/>
      <c r="S28" s="9"/>
      <c r="T28" s="9"/>
      <c r="U28" s="9"/>
      <c r="V28" s="9"/>
      <c r="W28" s="9"/>
      <c r="X28" s="9"/>
      <c r="Y28" s="9"/>
      <c r="Z28" s="9"/>
      <c r="AA28" s="9"/>
    </row>
    <row r="29" spans="1:27">
      <c r="O29" s="9"/>
      <c r="P29" s="9"/>
      <c r="Q29" s="9"/>
      <c r="R29" s="9"/>
      <c r="S29" s="9"/>
      <c r="T29" s="9"/>
      <c r="U29" s="9"/>
      <c r="V29" s="9"/>
      <c r="W29" s="9"/>
      <c r="X29" s="9"/>
      <c r="Y29" s="9"/>
      <c r="Z29" s="9"/>
      <c r="AA29" s="9"/>
    </row>
    <row r="30" spans="1:27">
      <c r="A30" t="s">
        <v>385</v>
      </c>
      <c r="O30" s="9"/>
      <c r="P30" s="9"/>
      <c r="Q30" s="9"/>
      <c r="R30" s="9"/>
      <c r="S30" s="9"/>
      <c r="T30" s="9"/>
      <c r="U30" s="9"/>
      <c r="V30" s="9"/>
      <c r="W30" s="9"/>
      <c r="X30" s="9"/>
      <c r="Y30" s="9"/>
      <c r="Z30" s="9"/>
      <c r="AA30" s="9"/>
    </row>
    <row r="31" spans="1:27">
      <c r="O31" s="9"/>
      <c r="P31" s="9"/>
      <c r="Q31" s="9"/>
      <c r="R31" s="9"/>
      <c r="S31" s="9"/>
      <c r="T31" s="9"/>
      <c r="U31" s="9"/>
      <c r="V31" s="9"/>
      <c r="W31" s="9"/>
      <c r="X31" s="9"/>
      <c r="Y31" s="9"/>
      <c r="Z31" s="9"/>
      <c r="AA31" s="9"/>
    </row>
    <row r="32" spans="1:27">
      <c r="O32" s="9"/>
      <c r="P32" s="9"/>
      <c r="Q32" s="9"/>
      <c r="R32" s="9"/>
      <c r="S32" s="9"/>
      <c r="T32" s="9"/>
      <c r="U32" s="9"/>
      <c r="V32" s="9"/>
      <c r="W32" s="9"/>
      <c r="X32" s="9"/>
      <c r="Y32" s="9"/>
      <c r="Z32" s="9"/>
      <c r="AA32" s="9"/>
    </row>
    <row r="33" spans="15:27">
      <c r="O33" s="9"/>
      <c r="P33" s="9"/>
      <c r="Q33" s="9"/>
      <c r="R33" s="9"/>
      <c r="S33" s="9"/>
      <c r="T33" s="9"/>
      <c r="U33" s="9"/>
      <c r="V33" s="9"/>
      <c r="W33" s="9"/>
      <c r="X33" s="9"/>
      <c r="Y33" s="9"/>
      <c r="Z33" s="9"/>
      <c r="AA33" s="9"/>
    </row>
    <row r="34" spans="15:27">
      <c r="O34" s="9"/>
      <c r="P34" s="9"/>
      <c r="Q34" s="9"/>
      <c r="R34" s="9"/>
      <c r="S34" s="9"/>
      <c r="T34" s="9"/>
      <c r="U34" s="9"/>
      <c r="V34" s="9"/>
      <c r="W34" s="9"/>
      <c r="X34" s="9"/>
      <c r="Y34" s="9"/>
      <c r="Z34" s="9"/>
      <c r="AA34" s="9"/>
    </row>
    <row r="35" spans="15:27">
      <c r="T35" s="9"/>
      <c r="U35" s="9"/>
      <c r="V35" s="9"/>
      <c r="W35" s="9"/>
      <c r="X35" s="9"/>
      <c r="Y35" s="9"/>
      <c r="Z35" s="9"/>
      <c r="AA35" s="9"/>
    </row>
  </sheetData>
  <phoneticPr fontId="0" type="noConversion"/>
  <printOptions gridLinesSet="0"/>
  <pageMargins left="0.78740157499999996" right="0.78740157499999996" top="0.984251969" bottom="0.984251969" header="0.51181102300000003" footer="0.51181102300000003"/>
  <pageSetup paperSize="9" orientation="portrait" horizontalDpi="4294967292" verticalDpi="300" r:id="rId1"/>
  <headerFooter alignWithMargins="0">
    <oddHeader>&amp;C&amp;F      &amp;A</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A2" sqref="A2"/>
    </sheetView>
  </sheetViews>
  <sheetFormatPr baseColWidth="10" defaultRowHeight="12.75"/>
  <sheetData>
    <row r="1" spans="1:4">
      <c r="A1" s="9" t="s">
        <v>326</v>
      </c>
      <c r="B1" s="9"/>
      <c r="C1" s="9"/>
      <c r="D1" s="9"/>
    </row>
    <row r="2" spans="1:4">
      <c r="A2" s="9"/>
      <c r="B2" s="9"/>
      <c r="C2" s="9"/>
      <c r="D2" s="9"/>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oddHeader>&amp;A</oddHeader>
    <oddFoote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B2" sqref="B2"/>
    </sheetView>
  </sheetViews>
  <sheetFormatPr baseColWidth="10" defaultRowHeight="12.75"/>
  <cols>
    <col min="1" max="2" width="11.42578125" style="6"/>
    <col min="3" max="3" width="14.7109375" style="6" customWidth="1"/>
    <col min="4" max="4" width="14.5703125" customWidth="1"/>
    <col min="5" max="5" width="11.28515625" customWidth="1"/>
  </cols>
  <sheetData>
    <row r="1" spans="1:6" ht="60" customHeight="1">
      <c r="A1" s="102" t="s">
        <v>8</v>
      </c>
      <c r="B1" s="102" t="s">
        <v>9</v>
      </c>
      <c r="C1" s="103" t="s">
        <v>10</v>
      </c>
      <c r="D1" s="220" t="s">
        <v>11</v>
      </c>
      <c r="E1" s="221" t="s">
        <v>229</v>
      </c>
      <c r="F1" s="8"/>
    </row>
    <row r="2" spans="1:6">
      <c r="A2" s="32" t="s">
        <v>12</v>
      </c>
      <c r="B2" s="33">
        <v>40</v>
      </c>
      <c r="C2" s="104"/>
      <c r="D2" s="79"/>
      <c r="E2" s="222" t="str">
        <f>A2</f>
        <v>06.08.</v>
      </c>
      <c r="F2" s="9"/>
    </row>
    <row r="3" spans="1:6">
      <c r="A3" s="32" t="s">
        <v>13</v>
      </c>
      <c r="B3" s="33">
        <f>B2*1.1</f>
        <v>44</v>
      </c>
      <c r="C3" s="105">
        <f>(B3-B2)/B2</f>
        <v>0.1</v>
      </c>
      <c r="D3" s="106">
        <f>1+C3</f>
        <v>1.1000000000000001</v>
      </c>
      <c r="E3" s="144">
        <f>C3</f>
        <v>0.1</v>
      </c>
      <c r="F3" s="9"/>
    </row>
    <row r="4" spans="1:6">
      <c r="A4" s="32" t="s">
        <v>14</v>
      </c>
      <c r="B4" s="33">
        <v>39.6</v>
      </c>
      <c r="C4" s="275">
        <f>(B4-B3)/B3</f>
        <v>-9.9999999999999964E-2</v>
      </c>
      <c r="D4" s="106">
        <f>1+C4</f>
        <v>0.9</v>
      </c>
      <c r="E4" s="151">
        <f>((1+C3)*(1+C4))^(1/2)-1</f>
        <v>-5.0125628933800348E-3</v>
      </c>
      <c r="F4" s="9"/>
    </row>
    <row r="5" spans="1:6">
      <c r="A5" s="32" t="s">
        <v>15</v>
      </c>
      <c r="B5" s="33">
        <f>B4*1.05</f>
        <v>41.580000000000005</v>
      </c>
      <c r="C5" s="105">
        <f>(B5-B4)/B4</f>
        <v>5.00000000000001E-2</v>
      </c>
      <c r="D5" s="106">
        <f>1+C5</f>
        <v>1.05</v>
      </c>
      <c r="E5" s="49"/>
      <c r="F5" s="9"/>
    </row>
    <row r="6" spans="1:6">
      <c r="A6" s="32" t="s">
        <v>16</v>
      </c>
      <c r="B6" s="33">
        <v>40</v>
      </c>
      <c r="C6" s="105">
        <f>(B6-B5)/B5</f>
        <v>-3.7999037999038122E-2</v>
      </c>
      <c r="D6" s="106">
        <f>1+C6</f>
        <v>0.96200096200096186</v>
      </c>
      <c r="E6" s="49"/>
      <c r="F6" s="9"/>
    </row>
    <row r="7" spans="1:6">
      <c r="A7" s="32" t="s">
        <v>17</v>
      </c>
      <c r="B7" s="33">
        <v>39.9</v>
      </c>
      <c r="C7" s="105">
        <f>(B7-B6)/B6</f>
        <v>-2.5000000000000356E-3</v>
      </c>
      <c r="D7" s="106">
        <f>1+C7</f>
        <v>0.99749999999999994</v>
      </c>
      <c r="E7" s="49"/>
      <c r="F7" s="9"/>
    </row>
    <row r="8" spans="1:6">
      <c r="A8" s="256"/>
      <c r="B8" s="256"/>
      <c r="C8" s="256"/>
      <c r="D8" s="257"/>
      <c r="E8" s="15"/>
      <c r="F8" s="9"/>
    </row>
    <row r="9" spans="1:6">
      <c r="A9" s="107"/>
      <c r="B9" s="107"/>
      <c r="C9" s="107"/>
      <c r="D9" s="9"/>
      <c r="E9" s="9"/>
      <c r="F9" s="9"/>
    </row>
    <row r="10" spans="1:6">
      <c r="A10" s="24">
        <v>0.1</v>
      </c>
      <c r="B10" s="9" t="s">
        <v>186</v>
      </c>
      <c r="C10" s="9"/>
      <c r="D10" s="9"/>
      <c r="E10" s="9"/>
      <c r="F10" s="9"/>
    </row>
    <row r="11" spans="1:6">
      <c r="A11" s="9" t="s">
        <v>187</v>
      </c>
      <c r="B11" s="9"/>
      <c r="C11" s="108">
        <f>1/(1-A10)-1</f>
        <v>0.11111111111111116</v>
      </c>
      <c r="D11" s="9" t="s">
        <v>23</v>
      </c>
      <c r="E11" s="9"/>
      <c r="F11" s="9"/>
    </row>
    <row r="12" spans="1:6">
      <c r="A12" s="9"/>
      <c r="B12" s="9"/>
      <c r="C12" s="9"/>
      <c r="D12" s="9"/>
      <c r="E12" s="9"/>
      <c r="F12" s="9"/>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oddHeader>&amp;A</oddHeader>
    <oddFooter>Seite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B1" sqref="B1"/>
    </sheetView>
  </sheetViews>
  <sheetFormatPr baseColWidth="10" defaultRowHeight="12.75"/>
  <cols>
    <col min="2" max="2" width="14.7109375" customWidth="1"/>
  </cols>
  <sheetData>
    <row r="1" spans="1:7">
      <c r="A1" s="9" t="s">
        <v>183</v>
      </c>
      <c r="B1" s="273">
        <v>41500</v>
      </c>
      <c r="C1" s="9"/>
      <c r="D1" s="9"/>
      <c r="E1" s="9"/>
      <c r="F1" s="9"/>
      <c r="G1" s="9"/>
    </row>
    <row r="2" spans="1:7">
      <c r="A2" s="9" t="s">
        <v>128</v>
      </c>
      <c r="B2" s="273">
        <v>41592</v>
      </c>
      <c r="C2" s="9"/>
      <c r="D2" s="9"/>
      <c r="E2" s="9"/>
      <c r="F2" s="9"/>
      <c r="G2" s="9"/>
    </row>
    <row r="3" spans="1:7">
      <c r="A3" s="9"/>
      <c r="B3" s="9"/>
      <c r="C3" s="9"/>
      <c r="D3" s="9"/>
      <c r="E3" s="9"/>
      <c r="F3" s="9"/>
      <c r="G3" s="9"/>
    </row>
    <row r="4" spans="1:7">
      <c r="A4" s="8" t="s">
        <v>5</v>
      </c>
      <c r="B4" s="9"/>
      <c r="C4" s="9"/>
      <c r="D4" s="9"/>
      <c r="E4" s="9"/>
      <c r="F4" s="9"/>
      <c r="G4" s="9"/>
    </row>
    <row r="5" spans="1:7">
      <c r="A5" s="9" t="s">
        <v>46</v>
      </c>
      <c r="B5" s="8">
        <f>B2-B1</f>
        <v>92</v>
      </c>
      <c r="C5" s="9" t="s">
        <v>47</v>
      </c>
      <c r="D5" s="9"/>
      <c r="E5" s="9"/>
      <c r="F5" s="9"/>
      <c r="G5" s="9"/>
    </row>
    <row r="6" spans="1:7">
      <c r="A6" s="9" t="s">
        <v>46</v>
      </c>
      <c r="B6" s="8">
        <f>DAYS360(B1,B2)</f>
        <v>90</v>
      </c>
      <c r="C6" s="9" t="s">
        <v>184</v>
      </c>
      <c r="D6" s="9"/>
      <c r="E6" s="9"/>
      <c r="F6" s="9"/>
      <c r="G6" s="9"/>
    </row>
    <row r="7" spans="1:7">
      <c r="A7" s="9"/>
      <c r="B7" s="9"/>
      <c r="C7" s="9"/>
      <c r="D7" s="9"/>
      <c r="E7" s="9"/>
      <c r="F7" s="9"/>
      <c r="G7" s="9"/>
    </row>
  </sheetData>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election activeCell="D3" sqref="D3"/>
    </sheetView>
  </sheetViews>
  <sheetFormatPr baseColWidth="10" defaultRowHeight="12.75"/>
  <cols>
    <col min="1" max="1" width="13.140625" customWidth="1"/>
    <col min="2" max="2" width="12.85546875" customWidth="1"/>
    <col min="4" max="4" width="17.5703125" customWidth="1"/>
  </cols>
  <sheetData>
    <row r="1" spans="1:6">
      <c r="A1" s="8" t="s">
        <v>124</v>
      </c>
      <c r="B1" s="9"/>
      <c r="C1" s="9"/>
      <c r="D1" s="9"/>
      <c r="E1" s="9"/>
      <c r="F1" s="9"/>
    </row>
    <row r="2" spans="1:6">
      <c r="A2" s="9"/>
      <c r="B2" s="9"/>
      <c r="C2" s="9"/>
      <c r="D2" s="9"/>
      <c r="E2" s="9"/>
      <c r="F2" s="9"/>
    </row>
    <row r="3" spans="1:6">
      <c r="A3" s="9" t="s">
        <v>125</v>
      </c>
      <c r="B3" s="59">
        <v>40391</v>
      </c>
      <c r="C3" s="9" t="s">
        <v>126</v>
      </c>
      <c r="D3" s="17">
        <v>1200</v>
      </c>
      <c r="E3" s="9" t="s">
        <v>330</v>
      </c>
      <c r="F3" s="9"/>
    </row>
    <row r="4" spans="1:6">
      <c r="A4" s="9" t="s">
        <v>128</v>
      </c>
      <c r="B4" s="59">
        <v>42217</v>
      </c>
      <c r="C4" s="9"/>
      <c r="D4" s="9"/>
      <c r="E4" s="9"/>
      <c r="F4" s="9"/>
    </row>
    <row r="5" spans="1:6">
      <c r="A5" s="9" t="s">
        <v>33</v>
      </c>
      <c r="B5" s="20">
        <v>0.03</v>
      </c>
      <c r="C5" s="9"/>
      <c r="D5" s="9"/>
      <c r="E5" s="9"/>
      <c r="F5" s="9"/>
    </row>
    <row r="6" spans="1:6">
      <c r="A6" s="9"/>
      <c r="B6" s="54"/>
      <c r="C6" s="9"/>
      <c r="D6" s="9"/>
      <c r="E6" s="9"/>
      <c r="F6" s="9"/>
    </row>
    <row r="7" spans="1:6">
      <c r="A7" s="9" t="s">
        <v>331</v>
      </c>
      <c r="B7" s="54"/>
      <c r="C7" s="9"/>
      <c r="D7" s="9"/>
      <c r="E7" s="9"/>
      <c r="F7" s="9"/>
    </row>
    <row r="8" spans="1:6">
      <c r="A8" s="9"/>
      <c r="B8" s="54"/>
      <c r="C8" s="9"/>
      <c r="D8" s="9"/>
      <c r="E8" s="9"/>
      <c r="F8" s="9"/>
    </row>
    <row r="9" spans="1:6">
      <c r="A9" s="9"/>
      <c r="B9" s="9"/>
      <c r="C9" s="9"/>
      <c r="D9" s="55" t="s">
        <v>130</v>
      </c>
      <c r="E9" s="9"/>
      <c r="F9" s="9"/>
    </row>
    <row r="10" spans="1:6">
      <c r="A10" s="31" t="s">
        <v>131</v>
      </c>
      <c r="B10" s="56">
        <f>YEAR(B3)</f>
        <v>2010</v>
      </c>
      <c r="C10" s="9">
        <f>IF(B10=B12,DAYS360(B3,B4),DAYS360(B3,"01.01."&amp;B10)+360)</f>
        <v>150</v>
      </c>
      <c r="D10" s="57">
        <f>$D$3*(C10/360*$B$5+1)</f>
        <v>1215</v>
      </c>
      <c r="E10" s="9"/>
      <c r="F10" s="9"/>
    </row>
    <row r="11" spans="1:6">
      <c r="A11" s="31"/>
      <c r="B11" s="31">
        <f>MAX(B12-B10-1,0)</f>
        <v>4</v>
      </c>
      <c r="C11" s="56" t="s">
        <v>132</v>
      </c>
      <c r="D11" s="57">
        <f>D10*(1+B5)^B11</f>
        <v>1367.4932041499999</v>
      </c>
      <c r="E11" s="9"/>
      <c r="F11" s="9"/>
    </row>
    <row r="12" spans="1:6">
      <c r="A12" s="31" t="str">
        <f>IF(B10=B12,"","Tage in")</f>
        <v>Tage in</v>
      </c>
      <c r="B12" s="56">
        <f>YEAR(B4)</f>
        <v>2015</v>
      </c>
      <c r="C12" s="9">
        <f>IF(YEAR(B3)=YEAR(B4),0,360-DAYS360(B4,"1.1."&amp;B12)-360)</f>
        <v>210</v>
      </c>
      <c r="D12" s="58">
        <f>D11*(C12/360*$B$5+1)</f>
        <v>1391.4243352226249</v>
      </c>
      <c r="E12" s="9"/>
      <c r="F12" s="9"/>
    </row>
    <row r="13" spans="1:6">
      <c r="A13" s="9"/>
      <c r="B13" s="9"/>
      <c r="C13" s="9"/>
      <c r="D13" s="9"/>
      <c r="E13" s="9"/>
      <c r="F13" s="9"/>
    </row>
  </sheetData>
  <phoneticPr fontId="0" type="noConversion"/>
  <printOptions gridLinesSet="0"/>
  <pageMargins left="0.78740157499999996" right="0.78740157499999996" top="0.984251969" bottom="0.984251969" header="0.51181102300000003" footer="0.51181102300000003"/>
  <pageSetup paperSize="9" orientation="portrait" horizontalDpi="4294967292" verticalDpi="4294967292" r:id="rId1"/>
  <headerFooter alignWithMargins="0">
    <oddHeader>&amp;C&amp;F      &amp;A</oddHead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dimension ref="A1:E46"/>
  <sheetViews>
    <sheetView showGridLines="0" workbookViewId="0">
      <selection activeCell="C2" sqref="C2"/>
    </sheetView>
  </sheetViews>
  <sheetFormatPr baseColWidth="10" defaultRowHeight="12.75"/>
  <cols>
    <col min="1" max="1" width="7" style="181" customWidth="1"/>
    <col min="2" max="2" width="14.28515625" style="181" customWidth="1"/>
    <col min="3" max="3" width="12" style="181" customWidth="1"/>
    <col min="4" max="4" width="14.42578125" style="181" customWidth="1"/>
    <col min="5" max="16384" width="11.42578125" style="181"/>
  </cols>
  <sheetData>
    <row r="1" spans="1:5">
      <c r="A1" s="179" t="s">
        <v>256</v>
      </c>
      <c r="B1" s="180"/>
      <c r="C1" s="180"/>
      <c r="D1" s="180"/>
      <c r="E1" s="196"/>
    </row>
    <row r="2" spans="1:5">
      <c r="A2" s="182" t="s">
        <v>212</v>
      </c>
      <c r="B2" s="183"/>
      <c r="C2" s="184" t="s">
        <v>247</v>
      </c>
      <c r="D2" s="180"/>
      <c r="E2" s="196"/>
    </row>
    <row r="3" spans="1:5">
      <c r="A3" s="182" t="s">
        <v>213</v>
      </c>
      <c r="B3" s="183"/>
      <c r="C3" s="187">
        <v>38180</v>
      </c>
      <c r="D3" s="180"/>
      <c r="E3" s="196"/>
    </row>
    <row r="4" spans="1:5">
      <c r="A4" s="182" t="s">
        <v>69</v>
      </c>
      <c r="B4" s="183"/>
      <c r="C4" s="188">
        <f>IF(WEEKDAY(C3+2)=7,C3+4,IF(WEEKDAY(C3+2)=1,C3+3,C3+2))</f>
        <v>38182</v>
      </c>
      <c r="D4" s="180"/>
      <c r="E4" s="196"/>
    </row>
    <row r="5" spans="1:5">
      <c r="A5" s="182" t="s">
        <v>66</v>
      </c>
      <c r="B5" s="183"/>
      <c r="C5" s="191">
        <v>97.6</v>
      </c>
      <c r="D5" s="180"/>
      <c r="E5" s="196"/>
    </row>
    <row r="6" spans="1:5">
      <c r="A6" s="185" t="s">
        <v>33</v>
      </c>
      <c r="B6" s="186"/>
      <c r="C6" s="194">
        <v>0.03</v>
      </c>
      <c r="D6" s="180"/>
      <c r="E6" s="196"/>
    </row>
    <row r="7" spans="1:5">
      <c r="A7" s="182" t="s">
        <v>68</v>
      </c>
      <c r="B7" s="183"/>
      <c r="C7" s="195">
        <v>38182</v>
      </c>
      <c r="D7" s="180"/>
      <c r="E7" s="196"/>
    </row>
    <row r="8" spans="1:5">
      <c r="A8" s="182" t="s">
        <v>218</v>
      </c>
      <c r="B8" s="183"/>
      <c r="C8" s="195">
        <v>38366</v>
      </c>
      <c r="D8" s="180"/>
      <c r="E8" s="196"/>
    </row>
    <row r="9" spans="1:5">
      <c r="A9" s="182" t="s">
        <v>219</v>
      </c>
      <c r="B9" s="183"/>
      <c r="C9" s="197">
        <v>2</v>
      </c>
      <c r="D9" s="180"/>
      <c r="E9" s="196"/>
    </row>
    <row r="10" spans="1:5">
      <c r="A10" s="182" t="s">
        <v>70</v>
      </c>
      <c r="B10" s="183"/>
      <c r="C10" s="200">
        <v>39643</v>
      </c>
      <c r="D10" s="180"/>
      <c r="E10" s="196"/>
    </row>
    <row r="11" spans="1:5">
      <c r="A11" s="180"/>
      <c r="B11" s="180"/>
      <c r="C11" s="180"/>
      <c r="D11" s="180"/>
      <c r="E11" s="196"/>
    </row>
    <row r="12" spans="1:5">
      <c r="A12" s="182" t="s">
        <v>65</v>
      </c>
      <c r="B12" s="183"/>
      <c r="C12" s="235">
        <v>1000</v>
      </c>
      <c r="D12" s="180"/>
      <c r="E12" s="196"/>
    </row>
    <row r="13" spans="1:5">
      <c r="A13" s="208"/>
      <c r="B13" s="208"/>
      <c r="C13" s="209"/>
      <c r="D13" s="208"/>
      <c r="E13" s="196"/>
    </row>
    <row r="14" spans="1:5">
      <c r="A14" s="208"/>
      <c r="B14" s="208"/>
      <c r="C14" s="210"/>
      <c r="D14" s="180" t="str">
        <f>IF(A46=" "," ","Fälligkeit zu lang für Berechnung!")</f>
        <v xml:space="preserve"> </v>
      </c>
      <c r="E14" s="196"/>
    </row>
    <row r="15" spans="1:5">
      <c r="A15" s="208"/>
      <c r="B15" s="210"/>
      <c r="C15" s="210"/>
      <c r="D15" s="180"/>
      <c r="E15" s="196"/>
    </row>
    <row r="16" spans="1:5" ht="13.5" customHeight="1">
      <c r="A16" s="179" t="s">
        <v>226</v>
      </c>
      <c r="B16" s="180"/>
      <c r="C16" s="180"/>
      <c r="D16" s="180"/>
      <c r="E16" s="196"/>
    </row>
    <row r="17" spans="1:5" ht="44.25" customHeight="1">
      <c r="A17" s="211" t="s">
        <v>227</v>
      </c>
      <c r="B17" s="212" t="s">
        <v>228</v>
      </c>
      <c r="C17" s="212" t="s">
        <v>46</v>
      </c>
      <c r="D17" s="213" t="s">
        <v>185</v>
      </c>
      <c r="E17" s="196"/>
    </row>
    <row r="18" spans="1:5">
      <c r="A18" s="214">
        <v>0</v>
      </c>
      <c r="B18" s="188">
        <f>C4</f>
        <v>38182</v>
      </c>
      <c r="C18" s="218"/>
      <c r="D18" s="215"/>
      <c r="E18" s="196"/>
    </row>
    <row r="19" spans="1:5" ht="4.5" customHeight="1">
      <c r="A19" s="214"/>
      <c r="B19" s="188"/>
      <c r="C19" s="218"/>
      <c r="D19" s="215"/>
      <c r="E19" s="196"/>
    </row>
    <row r="20" spans="1:5">
      <c r="A20" s="214">
        <v>1</v>
      </c>
      <c r="B20" s="188">
        <f>C8+IF(WEEKDAY(C8)=7,2,IF(WEEKDAY(C8)=1,1,0))</f>
        <v>38366</v>
      </c>
      <c r="C20" s="219">
        <f>IF(A20=" ","",B20-C7)</f>
        <v>184</v>
      </c>
      <c r="D20" s="215">
        <f>IF(A20=" ","",$C$12*$C$6*C20/360)</f>
        <v>15.333333333333334</v>
      </c>
      <c r="E20" s="196"/>
    </row>
    <row r="21" spans="1:5">
      <c r="A21" s="214">
        <f>IF(A20=" "," ",IF(MAX(B17:B20)&gt;=$C$10," ",A20+1))</f>
        <v>2</v>
      </c>
      <c r="B21" s="188">
        <f t="shared" ref="B21:B45" si="0">IF(A21=" ",$B$18,EDATE($C$8,(A21-1)*12/$C$9)+IF(WEEKDAY(EDATE($C$8,(A21-1)*12/$C$9))=7,2,IF(WEEKDAY(EDATE($C$8,(A21-1)*12/$C$9))=1,1,0)))</f>
        <v>38547</v>
      </c>
      <c r="C21" s="219">
        <f>IF(A21=" ","",B21-B20)</f>
        <v>181</v>
      </c>
      <c r="D21" s="215">
        <f t="shared" ref="D21:D45" si="1">IF(A21=" ","",$C$12*$C$6*C21/360)</f>
        <v>15.083333333333334</v>
      </c>
      <c r="E21" s="196"/>
    </row>
    <row r="22" spans="1:5">
      <c r="A22" s="214">
        <f>IF(A21=" "," ",IF(MAX(B18:B21)&gt;=$C$10," ",A21+1))</f>
        <v>3</v>
      </c>
      <c r="B22" s="188">
        <f t="shared" si="0"/>
        <v>38733</v>
      </c>
      <c r="C22" s="219">
        <f t="shared" ref="C22:C45" si="2">IF(A22=" ","",B22-B21)</f>
        <v>186</v>
      </c>
      <c r="D22" s="215">
        <f t="shared" si="1"/>
        <v>15.5</v>
      </c>
      <c r="E22" s="196"/>
    </row>
    <row r="23" spans="1:5">
      <c r="A23" s="214">
        <f t="shared" ref="A23:A46" si="3">IF(A22=" "," ",IF(MAX(B20:B22)&gt;=$C$10," ",A22+1))</f>
        <v>4</v>
      </c>
      <c r="B23" s="188">
        <f t="shared" si="0"/>
        <v>38912</v>
      </c>
      <c r="C23" s="219">
        <f t="shared" si="2"/>
        <v>179</v>
      </c>
      <c r="D23" s="215">
        <f t="shared" si="1"/>
        <v>14.916666666666666</v>
      </c>
      <c r="E23" s="196"/>
    </row>
    <row r="24" spans="1:5">
      <c r="A24" s="214">
        <f t="shared" si="3"/>
        <v>5</v>
      </c>
      <c r="B24" s="188">
        <f t="shared" si="0"/>
        <v>39097</v>
      </c>
      <c r="C24" s="219">
        <f t="shared" si="2"/>
        <v>185</v>
      </c>
      <c r="D24" s="215">
        <f t="shared" si="1"/>
        <v>15.416666666666666</v>
      </c>
      <c r="E24" s="196"/>
    </row>
    <row r="25" spans="1:5">
      <c r="A25" s="214">
        <f t="shared" si="3"/>
        <v>6</v>
      </c>
      <c r="B25" s="188">
        <f t="shared" si="0"/>
        <v>39279</v>
      </c>
      <c r="C25" s="219">
        <f t="shared" si="2"/>
        <v>182</v>
      </c>
      <c r="D25" s="215">
        <f t="shared" si="1"/>
        <v>15.166666666666666</v>
      </c>
      <c r="E25" s="196"/>
    </row>
    <row r="26" spans="1:5">
      <c r="A26" s="214">
        <f t="shared" si="3"/>
        <v>7</v>
      </c>
      <c r="B26" s="188">
        <f t="shared" si="0"/>
        <v>39461</v>
      </c>
      <c r="C26" s="219">
        <f t="shared" si="2"/>
        <v>182</v>
      </c>
      <c r="D26" s="215">
        <f t="shared" si="1"/>
        <v>15.166666666666666</v>
      </c>
      <c r="E26" s="196"/>
    </row>
    <row r="27" spans="1:5">
      <c r="A27" s="214">
        <f t="shared" si="3"/>
        <v>8</v>
      </c>
      <c r="B27" s="188">
        <f t="shared" si="0"/>
        <v>39643</v>
      </c>
      <c r="C27" s="219">
        <f t="shared" si="2"/>
        <v>182</v>
      </c>
      <c r="D27" s="215">
        <f t="shared" si="1"/>
        <v>15.166666666666666</v>
      </c>
      <c r="E27" s="196"/>
    </row>
    <row r="28" spans="1:5">
      <c r="A28" s="214" t="str">
        <f t="shared" si="3"/>
        <v xml:space="preserve"> </v>
      </c>
      <c r="B28" s="188">
        <f t="shared" si="0"/>
        <v>38182</v>
      </c>
      <c r="C28" s="219" t="str">
        <f t="shared" si="2"/>
        <v/>
      </c>
      <c r="D28" s="215" t="str">
        <f t="shared" si="1"/>
        <v/>
      </c>
      <c r="E28" s="196"/>
    </row>
    <row r="29" spans="1:5">
      <c r="A29" s="214" t="str">
        <f t="shared" si="3"/>
        <v xml:space="preserve"> </v>
      </c>
      <c r="B29" s="188">
        <f t="shared" si="0"/>
        <v>38182</v>
      </c>
      <c r="C29" s="219" t="str">
        <f t="shared" si="2"/>
        <v/>
      </c>
      <c r="D29" s="215" t="str">
        <f t="shared" si="1"/>
        <v/>
      </c>
      <c r="E29" s="196"/>
    </row>
    <row r="30" spans="1:5">
      <c r="A30" s="214" t="str">
        <f t="shared" si="3"/>
        <v xml:space="preserve"> </v>
      </c>
      <c r="B30" s="188">
        <f t="shared" si="0"/>
        <v>38182</v>
      </c>
      <c r="C30" s="219" t="str">
        <f t="shared" si="2"/>
        <v/>
      </c>
      <c r="D30" s="215" t="str">
        <f t="shared" si="1"/>
        <v/>
      </c>
      <c r="E30" s="196"/>
    </row>
    <row r="31" spans="1:5">
      <c r="A31" s="214" t="str">
        <f t="shared" si="3"/>
        <v xml:space="preserve"> </v>
      </c>
      <c r="B31" s="188">
        <f t="shared" si="0"/>
        <v>38182</v>
      </c>
      <c r="C31" s="219" t="str">
        <f t="shared" si="2"/>
        <v/>
      </c>
      <c r="D31" s="215" t="str">
        <f t="shared" si="1"/>
        <v/>
      </c>
      <c r="E31" s="196"/>
    </row>
    <row r="32" spans="1:5">
      <c r="A32" s="214" t="str">
        <f t="shared" si="3"/>
        <v xml:space="preserve"> </v>
      </c>
      <c r="B32" s="188">
        <f t="shared" si="0"/>
        <v>38182</v>
      </c>
      <c r="C32" s="219" t="str">
        <f t="shared" si="2"/>
        <v/>
      </c>
      <c r="D32" s="215" t="str">
        <f t="shared" si="1"/>
        <v/>
      </c>
      <c r="E32" s="196"/>
    </row>
    <row r="33" spans="1:5">
      <c r="A33" s="214" t="str">
        <f t="shared" si="3"/>
        <v xml:space="preserve"> </v>
      </c>
      <c r="B33" s="188">
        <f t="shared" si="0"/>
        <v>38182</v>
      </c>
      <c r="C33" s="219" t="str">
        <f t="shared" si="2"/>
        <v/>
      </c>
      <c r="D33" s="215" t="str">
        <f t="shared" si="1"/>
        <v/>
      </c>
      <c r="E33" s="196"/>
    </row>
    <row r="34" spans="1:5">
      <c r="A34" s="214" t="str">
        <f t="shared" si="3"/>
        <v xml:space="preserve"> </v>
      </c>
      <c r="B34" s="188">
        <f t="shared" si="0"/>
        <v>38182</v>
      </c>
      <c r="C34" s="219" t="str">
        <f t="shared" si="2"/>
        <v/>
      </c>
      <c r="D34" s="215" t="str">
        <f t="shared" si="1"/>
        <v/>
      </c>
      <c r="E34" s="196"/>
    </row>
    <row r="35" spans="1:5">
      <c r="A35" s="214" t="str">
        <f t="shared" si="3"/>
        <v xml:space="preserve"> </v>
      </c>
      <c r="B35" s="188">
        <f t="shared" si="0"/>
        <v>38182</v>
      </c>
      <c r="C35" s="219" t="str">
        <f t="shared" si="2"/>
        <v/>
      </c>
      <c r="D35" s="215" t="str">
        <f t="shared" si="1"/>
        <v/>
      </c>
      <c r="E35" s="196"/>
    </row>
    <row r="36" spans="1:5">
      <c r="A36" s="214" t="str">
        <f t="shared" si="3"/>
        <v xml:space="preserve"> </v>
      </c>
      <c r="B36" s="188">
        <f t="shared" si="0"/>
        <v>38182</v>
      </c>
      <c r="C36" s="219" t="str">
        <f t="shared" si="2"/>
        <v/>
      </c>
      <c r="D36" s="215" t="str">
        <f t="shared" si="1"/>
        <v/>
      </c>
      <c r="E36" s="196"/>
    </row>
    <row r="37" spans="1:5">
      <c r="A37" s="214" t="str">
        <f t="shared" si="3"/>
        <v xml:space="preserve"> </v>
      </c>
      <c r="B37" s="188">
        <f t="shared" si="0"/>
        <v>38182</v>
      </c>
      <c r="C37" s="219" t="str">
        <f t="shared" si="2"/>
        <v/>
      </c>
      <c r="D37" s="215" t="str">
        <f t="shared" si="1"/>
        <v/>
      </c>
      <c r="E37" s="196"/>
    </row>
    <row r="38" spans="1:5">
      <c r="A38" s="214" t="str">
        <f t="shared" si="3"/>
        <v xml:space="preserve"> </v>
      </c>
      <c r="B38" s="188">
        <f t="shared" si="0"/>
        <v>38182</v>
      </c>
      <c r="C38" s="219" t="str">
        <f t="shared" si="2"/>
        <v/>
      </c>
      <c r="D38" s="215" t="str">
        <f t="shared" si="1"/>
        <v/>
      </c>
      <c r="E38" s="196"/>
    </row>
    <row r="39" spans="1:5">
      <c r="A39" s="214" t="str">
        <f t="shared" si="3"/>
        <v xml:space="preserve"> </v>
      </c>
      <c r="B39" s="188">
        <f t="shared" si="0"/>
        <v>38182</v>
      </c>
      <c r="C39" s="219" t="str">
        <f t="shared" si="2"/>
        <v/>
      </c>
      <c r="D39" s="215" t="str">
        <f t="shared" si="1"/>
        <v/>
      </c>
      <c r="E39" s="196"/>
    </row>
    <row r="40" spans="1:5">
      <c r="A40" s="214" t="str">
        <f t="shared" si="3"/>
        <v xml:space="preserve"> </v>
      </c>
      <c r="B40" s="188">
        <f t="shared" si="0"/>
        <v>38182</v>
      </c>
      <c r="C40" s="219" t="str">
        <f t="shared" si="2"/>
        <v/>
      </c>
      <c r="D40" s="215" t="str">
        <f t="shared" si="1"/>
        <v/>
      </c>
      <c r="E40" s="196"/>
    </row>
    <row r="41" spans="1:5">
      <c r="A41" s="214" t="str">
        <f t="shared" si="3"/>
        <v xml:space="preserve"> </v>
      </c>
      <c r="B41" s="188">
        <f t="shared" si="0"/>
        <v>38182</v>
      </c>
      <c r="C41" s="219" t="str">
        <f t="shared" si="2"/>
        <v/>
      </c>
      <c r="D41" s="215" t="str">
        <f t="shared" si="1"/>
        <v/>
      </c>
      <c r="E41" s="196"/>
    </row>
    <row r="42" spans="1:5">
      <c r="A42" s="214" t="str">
        <f t="shared" si="3"/>
        <v xml:space="preserve"> </v>
      </c>
      <c r="B42" s="188">
        <f t="shared" si="0"/>
        <v>38182</v>
      </c>
      <c r="C42" s="219" t="str">
        <f t="shared" si="2"/>
        <v/>
      </c>
      <c r="D42" s="215" t="str">
        <f t="shared" si="1"/>
        <v/>
      </c>
      <c r="E42" s="196"/>
    </row>
    <row r="43" spans="1:5">
      <c r="A43" s="214" t="str">
        <f t="shared" si="3"/>
        <v xml:space="preserve"> </v>
      </c>
      <c r="B43" s="188">
        <f t="shared" si="0"/>
        <v>38182</v>
      </c>
      <c r="C43" s="219" t="str">
        <f t="shared" si="2"/>
        <v/>
      </c>
      <c r="D43" s="215" t="str">
        <f t="shared" si="1"/>
        <v/>
      </c>
      <c r="E43" s="196"/>
    </row>
    <row r="44" spans="1:5">
      <c r="A44" s="214" t="str">
        <f t="shared" si="3"/>
        <v xml:space="preserve"> </v>
      </c>
      <c r="B44" s="188">
        <f t="shared" si="0"/>
        <v>38182</v>
      </c>
      <c r="C44" s="219" t="str">
        <f t="shared" si="2"/>
        <v/>
      </c>
      <c r="D44" s="215" t="str">
        <f t="shared" si="1"/>
        <v/>
      </c>
      <c r="E44" s="196"/>
    </row>
    <row r="45" spans="1:5">
      <c r="A45" s="214" t="str">
        <f t="shared" si="3"/>
        <v xml:space="preserve"> </v>
      </c>
      <c r="B45" s="188">
        <f t="shared" si="0"/>
        <v>38182</v>
      </c>
      <c r="C45" s="219" t="str">
        <f t="shared" si="2"/>
        <v/>
      </c>
      <c r="D45" s="215" t="str">
        <f t="shared" si="1"/>
        <v/>
      </c>
      <c r="E45" s="196"/>
    </row>
    <row r="46" spans="1:5">
      <c r="A46" s="217" t="str">
        <f t="shared" si="3"/>
        <v xml:space="preserve"> </v>
      </c>
    </row>
  </sheetData>
  <phoneticPr fontId="2" type="noConversion"/>
  <conditionalFormatting sqref="B21:B45">
    <cfRule type="cellIs" dxfId="0" priority="1" stopIfTrue="1" operator="equal">
      <formula>$B$18</formula>
    </cfRule>
  </conditionalFormatting>
  <printOptions gridLines="1"/>
  <pageMargins left="0.78740157499999996" right="0.78740157499999996" top="0.984251969" bottom="0.984251969" header="0.51181102300000003" footer="0.51181102300000003"/>
  <pageSetup paperSize="9" orientation="portrait" horizontalDpi="4294967292" verticalDpi="300" r:id="rId1"/>
  <headerFooter alignWithMargins="0">
    <oddHeader>&amp;C&amp;F             &amp;A</oddHeader>
  </headerFooter>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election activeCell="A2" sqref="A2"/>
    </sheetView>
  </sheetViews>
  <sheetFormatPr baseColWidth="10" defaultRowHeight="12.75"/>
  <sheetData>
    <row r="1" spans="1:5">
      <c r="A1" s="9" t="s">
        <v>308</v>
      </c>
      <c r="B1" s="9"/>
      <c r="C1" s="9"/>
      <c r="D1" s="9"/>
      <c r="E1" s="9"/>
    </row>
    <row r="2" spans="1:5">
      <c r="A2" s="9"/>
      <c r="B2" s="9"/>
      <c r="C2" s="9"/>
      <c r="D2" s="9"/>
      <c r="E2" s="9"/>
    </row>
  </sheetData>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selection activeCell="B5" sqref="B5"/>
    </sheetView>
  </sheetViews>
  <sheetFormatPr baseColWidth="10" defaultRowHeight="12.75"/>
  <cols>
    <col min="1" max="1" width="9.42578125" style="288" customWidth="1"/>
    <col min="2" max="2" width="9.7109375" style="288" customWidth="1"/>
    <col min="3" max="3" width="9.140625" style="289" customWidth="1"/>
    <col min="4" max="4" width="11.42578125" style="289"/>
    <col min="5" max="5" width="13.85546875" style="289" customWidth="1"/>
    <col min="6" max="6" width="11.42578125" style="289"/>
    <col min="7" max="16384" width="11.42578125" style="224"/>
  </cols>
  <sheetData>
    <row r="1" spans="1:7" ht="39.75" customHeight="1">
      <c r="A1" s="276" t="s">
        <v>8</v>
      </c>
      <c r="B1" s="276" t="s">
        <v>66</v>
      </c>
      <c r="C1" s="277" t="s">
        <v>230</v>
      </c>
      <c r="D1" s="277" t="s">
        <v>231</v>
      </c>
      <c r="E1" s="277" t="s">
        <v>232</v>
      </c>
      <c r="F1" s="278" t="s">
        <v>233</v>
      </c>
      <c r="G1" s="223"/>
    </row>
    <row r="2" spans="1:7">
      <c r="A2" s="279">
        <v>34577</v>
      </c>
      <c r="B2" s="280">
        <v>497</v>
      </c>
      <c r="C2" s="281">
        <v>497</v>
      </c>
      <c r="D2" s="281"/>
      <c r="E2" s="278"/>
      <c r="F2" s="278"/>
      <c r="G2" s="223"/>
    </row>
    <row r="3" spans="1:7">
      <c r="A3" s="279">
        <v>34578</v>
      </c>
      <c r="B3" s="280">
        <v>490.5</v>
      </c>
      <c r="C3" s="281">
        <v>490.5</v>
      </c>
      <c r="D3" s="281"/>
      <c r="E3" s="282">
        <f t="shared" ref="E3:E34" si="0">(C3-C2)/C2</f>
        <v>-1.3078470824949699E-2</v>
      </c>
      <c r="F3" s="282">
        <f t="shared" ref="F3:F34" si="1">LN(1+E3)</f>
        <v>-1.3164747091210982E-2</v>
      </c>
      <c r="G3" s="223"/>
    </row>
    <row r="4" spans="1:7">
      <c r="A4" s="279">
        <v>34579</v>
      </c>
      <c r="B4" s="280">
        <v>494</v>
      </c>
      <c r="C4" s="281">
        <v>494</v>
      </c>
      <c r="D4" s="281"/>
      <c r="E4" s="282">
        <f t="shared" si="0"/>
        <v>7.1355759429153924E-3</v>
      </c>
      <c r="F4" s="282">
        <f t="shared" si="1"/>
        <v>7.1102381825048121E-3</v>
      </c>
      <c r="G4" s="223"/>
    </row>
    <row r="5" spans="1:7">
      <c r="A5" s="279">
        <v>34582</v>
      </c>
      <c r="B5" s="280">
        <v>488</v>
      </c>
      <c r="C5" s="281">
        <v>488</v>
      </c>
      <c r="D5" s="281"/>
      <c r="E5" s="282">
        <f t="shared" si="0"/>
        <v>-1.2145748987854251E-2</v>
      </c>
      <c r="F5" s="282">
        <f t="shared" si="1"/>
        <v>-1.2220111334775333E-2</v>
      </c>
      <c r="G5" s="223"/>
    </row>
    <row r="6" spans="1:7">
      <c r="A6" s="279">
        <v>34583</v>
      </c>
      <c r="B6" s="280">
        <v>491</v>
      </c>
      <c r="C6" s="281">
        <v>491</v>
      </c>
      <c r="D6" s="281"/>
      <c r="E6" s="282">
        <f t="shared" si="0"/>
        <v>6.1475409836065573E-3</v>
      </c>
      <c r="F6" s="282">
        <f t="shared" si="1"/>
        <v>6.1287219413733258E-3</v>
      </c>
      <c r="G6" s="223"/>
    </row>
    <row r="7" spans="1:7">
      <c r="A7" s="279">
        <v>34584</v>
      </c>
      <c r="B7" s="280">
        <v>482.5</v>
      </c>
      <c r="C7" s="281">
        <v>482.5</v>
      </c>
      <c r="D7" s="281"/>
      <c r="E7" s="282">
        <f t="shared" si="0"/>
        <v>-1.7311608961303463E-2</v>
      </c>
      <c r="F7" s="282">
        <f t="shared" si="1"/>
        <v>-1.7463207015479959E-2</v>
      </c>
      <c r="G7" s="223"/>
    </row>
    <row r="8" spans="1:7">
      <c r="A8" s="279">
        <v>34585</v>
      </c>
      <c r="B8" s="280">
        <v>487</v>
      </c>
      <c r="C8" s="281">
        <v>487</v>
      </c>
      <c r="D8" s="281"/>
      <c r="E8" s="282">
        <f t="shared" si="0"/>
        <v>9.3264248704663204E-3</v>
      </c>
      <c r="F8" s="282">
        <f t="shared" si="1"/>
        <v>9.2832023035491623E-3</v>
      </c>
      <c r="G8" s="223"/>
    </row>
    <row r="9" spans="1:7">
      <c r="A9" s="279">
        <v>34586</v>
      </c>
      <c r="B9" s="280">
        <v>491.3</v>
      </c>
      <c r="C9" s="281">
        <v>491.3</v>
      </c>
      <c r="D9" s="281"/>
      <c r="E9" s="282">
        <f t="shared" si="0"/>
        <v>8.8295687885010504E-3</v>
      </c>
      <c r="F9" s="282">
        <f t="shared" si="1"/>
        <v>8.7908160920126804E-3</v>
      </c>
      <c r="G9" s="223"/>
    </row>
    <row r="10" spans="1:7">
      <c r="A10" s="279">
        <v>34589</v>
      </c>
      <c r="B10" s="280">
        <v>481.5</v>
      </c>
      <c r="C10" s="281">
        <v>481.5</v>
      </c>
      <c r="D10" s="281"/>
      <c r="E10" s="282">
        <f t="shared" si="0"/>
        <v>-1.9947079177691861E-2</v>
      </c>
      <c r="F10" s="282">
        <f t="shared" si="1"/>
        <v>-2.0148707936422369E-2</v>
      </c>
      <c r="G10" s="223"/>
    </row>
    <row r="11" spans="1:7">
      <c r="A11" s="279">
        <v>34590</v>
      </c>
      <c r="B11" s="280">
        <v>477.5</v>
      </c>
      <c r="C11" s="281">
        <v>477.5</v>
      </c>
      <c r="D11" s="281">
        <f t="shared" ref="D11:D42" si="2">AVERAGE(C2:C11)</f>
        <v>488.03000000000003</v>
      </c>
      <c r="E11" s="282">
        <f t="shared" si="0"/>
        <v>-8.3073727933541015E-3</v>
      </c>
      <c r="F11" s="282">
        <f t="shared" si="1"/>
        <v>-8.3420713173953474E-3</v>
      </c>
      <c r="G11" s="223"/>
    </row>
    <row r="12" spans="1:7">
      <c r="A12" s="279">
        <v>34591</v>
      </c>
      <c r="B12" s="280">
        <v>476.5</v>
      </c>
      <c r="C12" s="281">
        <v>476.5</v>
      </c>
      <c r="D12" s="281">
        <f t="shared" si="2"/>
        <v>485.98</v>
      </c>
      <c r="E12" s="282">
        <f t="shared" si="0"/>
        <v>-2.0942408376963353E-3</v>
      </c>
      <c r="F12" s="282">
        <f t="shared" si="1"/>
        <v>-2.096436826528182E-3</v>
      </c>
      <c r="G12" s="223"/>
    </row>
    <row r="13" spans="1:7">
      <c r="A13" s="279">
        <v>34592</v>
      </c>
      <c r="B13" s="280">
        <v>469.5</v>
      </c>
      <c r="C13" s="281">
        <v>469.5</v>
      </c>
      <c r="D13" s="281">
        <f t="shared" si="2"/>
        <v>483.88</v>
      </c>
      <c r="E13" s="282">
        <f t="shared" si="0"/>
        <v>-1.4690451206715634E-2</v>
      </c>
      <c r="F13" s="282">
        <f t="shared" si="1"/>
        <v>-1.4799424445939208E-2</v>
      </c>
      <c r="G13" s="223"/>
    </row>
    <row r="14" spans="1:7">
      <c r="A14" s="279">
        <v>34593</v>
      </c>
      <c r="B14" s="280">
        <v>469</v>
      </c>
      <c r="C14" s="281">
        <v>469</v>
      </c>
      <c r="D14" s="281">
        <f t="shared" si="2"/>
        <v>481.38</v>
      </c>
      <c r="E14" s="282">
        <f t="shared" si="0"/>
        <v>-1.0649627263045794E-3</v>
      </c>
      <c r="F14" s="282">
        <f t="shared" si="1"/>
        <v>-1.0655302020382848E-3</v>
      </c>
      <c r="G14" s="223"/>
    </row>
    <row r="15" spans="1:7">
      <c r="A15" s="279">
        <v>34596</v>
      </c>
      <c r="B15" s="280">
        <v>460.5</v>
      </c>
      <c r="C15" s="281">
        <v>460.5</v>
      </c>
      <c r="D15" s="281">
        <f t="shared" si="2"/>
        <v>478.63</v>
      </c>
      <c r="E15" s="282">
        <f t="shared" si="0"/>
        <v>-1.8123667377398719E-2</v>
      </c>
      <c r="F15" s="282">
        <f t="shared" si="1"/>
        <v>-1.8289912750917785E-2</v>
      </c>
      <c r="G15" s="223"/>
    </row>
    <row r="16" spans="1:7">
      <c r="A16" s="279">
        <v>34597</v>
      </c>
      <c r="B16" s="280">
        <v>451</v>
      </c>
      <c r="C16" s="281">
        <v>451</v>
      </c>
      <c r="D16" s="281">
        <f t="shared" si="2"/>
        <v>474.63</v>
      </c>
      <c r="E16" s="282">
        <f t="shared" si="0"/>
        <v>-2.0629750271444081E-2</v>
      </c>
      <c r="F16" s="282">
        <f t="shared" si="1"/>
        <v>-2.0845516192683197E-2</v>
      </c>
      <c r="G16" s="223"/>
    </row>
    <row r="17" spans="1:7">
      <c r="A17" s="279">
        <v>34598</v>
      </c>
      <c r="B17" s="280">
        <v>448.5</v>
      </c>
      <c r="C17" s="281">
        <v>448.5</v>
      </c>
      <c r="D17" s="281">
        <f t="shared" si="2"/>
        <v>471.23</v>
      </c>
      <c r="E17" s="282">
        <f t="shared" si="0"/>
        <v>-5.5432372505543242E-3</v>
      </c>
      <c r="F17" s="282">
        <f t="shared" si="1"/>
        <v>-5.5586580038274932E-3</v>
      </c>
      <c r="G17" s="223"/>
    </row>
    <row r="18" spans="1:7">
      <c r="A18" s="279">
        <v>34599</v>
      </c>
      <c r="B18" s="280">
        <v>456.5</v>
      </c>
      <c r="C18" s="281">
        <v>456.5</v>
      </c>
      <c r="D18" s="281">
        <f t="shared" si="2"/>
        <v>468.18</v>
      </c>
      <c r="E18" s="282">
        <f t="shared" si="0"/>
        <v>1.7837235228539576E-2</v>
      </c>
      <c r="F18" s="282">
        <f t="shared" si="1"/>
        <v>1.7680018536172411E-2</v>
      </c>
      <c r="G18" s="223"/>
    </row>
    <row r="19" spans="1:7">
      <c r="A19" s="279">
        <v>34600</v>
      </c>
      <c r="B19" s="280">
        <v>458.5</v>
      </c>
      <c r="C19" s="281">
        <v>458.5</v>
      </c>
      <c r="D19" s="281">
        <f t="shared" si="2"/>
        <v>464.9</v>
      </c>
      <c r="E19" s="282">
        <f t="shared" si="0"/>
        <v>4.3811610076670317E-3</v>
      </c>
      <c r="F19" s="282">
        <f t="shared" si="1"/>
        <v>4.3715916614962954E-3</v>
      </c>
      <c r="G19" s="223"/>
    </row>
    <row r="20" spans="1:7">
      <c r="A20" s="279">
        <v>34603</v>
      </c>
      <c r="B20" s="280">
        <v>457</v>
      </c>
      <c r="C20" s="281">
        <v>457</v>
      </c>
      <c r="D20" s="281">
        <f t="shared" si="2"/>
        <v>462.45</v>
      </c>
      <c r="E20" s="282">
        <f t="shared" si="0"/>
        <v>-3.2715376226826608E-3</v>
      </c>
      <c r="F20" s="282">
        <f t="shared" si="1"/>
        <v>-3.2769008023147985E-3</v>
      </c>
      <c r="G20" s="223"/>
    </row>
    <row r="21" spans="1:7">
      <c r="A21" s="279">
        <v>34604</v>
      </c>
      <c r="B21" s="280">
        <v>456.5</v>
      </c>
      <c r="C21" s="281">
        <v>456.5</v>
      </c>
      <c r="D21" s="281">
        <f t="shared" si="2"/>
        <v>460.35</v>
      </c>
      <c r="E21" s="282">
        <f t="shared" si="0"/>
        <v>-1.0940919037199124E-3</v>
      </c>
      <c r="F21" s="282">
        <f t="shared" si="1"/>
        <v>-1.0946908591815245E-3</v>
      </c>
      <c r="G21" s="223"/>
    </row>
    <row r="22" spans="1:7">
      <c r="A22" s="279">
        <v>34605</v>
      </c>
      <c r="B22" s="280">
        <v>454</v>
      </c>
      <c r="C22" s="281">
        <v>454</v>
      </c>
      <c r="D22" s="281">
        <f t="shared" si="2"/>
        <v>458.1</v>
      </c>
      <c r="E22" s="282">
        <f t="shared" si="0"/>
        <v>-5.4764512595837896E-3</v>
      </c>
      <c r="F22" s="282">
        <f t="shared" si="1"/>
        <v>-5.4915019936751207E-3</v>
      </c>
      <c r="G22" s="223"/>
    </row>
    <row r="23" spans="1:7">
      <c r="A23" s="279">
        <v>34606</v>
      </c>
      <c r="B23" s="280">
        <v>442.5</v>
      </c>
      <c r="C23" s="281">
        <v>442.5</v>
      </c>
      <c r="D23" s="281">
        <f t="shared" si="2"/>
        <v>455.4</v>
      </c>
      <c r="E23" s="282">
        <f t="shared" si="0"/>
        <v>-2.5330396475770924E-2</v>
      </c>
      <c r="F23" s="282">
        <f t="shared" si="1"/>
        <v>-2.5656733593363807E-2</v>
      </c>
      <c r="G23" s="223"/>
    </row>
    <row r="24" spans="1:7">
      <c r="A24" s="279">
        <v>34607</v>
      </c>
      <c r="B24" s="280">
        <v>425.5</v>
      </c>
      <c r="C24" s="281">
        <v>425.5</v>
      </c>
      <c r="D24" s="281">
        <f t="shared" si="2"/>
        <v>451.05</v>
      </c>
      <c r="E24" s="282">
        <f t="shared" si="0"/>
        <v>-3.84180790960452E-2</v>
      </c>
      <c r="F24" s="282">
        <f t="shared" si="1"/>
        <v>-3.9175516434555406E-2</v>
      </c>
      <c r="G24" s="223"/>
    </row>
    <row r="25" spans="1:7">
      <c r="A25" s="279">
        <v>34610</v>
      </c>
      <c r="B25" s="280"/>
      <c r="C25" s="281">
        <v>425.5</v>
      </c>
      <c r="D25" s="281">
        <f t="shared" si="2"/>
        <v>447.55</v>
      </c>
      <c r="E25" s="282">
        <f t="shared" si="0"/>
        <v>0</v>
      </c>
      <c r="F25" s="282">
        <f t="shared" si="1"/>
        <v>0</v>
      </c>
      <c r="G25" s="223"/>
    </row>
    <row r="26" spans="1:7">
      <c r="A26" s="279">
        <v>34611</v>
      </c>
      <c r="B26" s="280">
        <v>425.5</v>
      </c>
      <c r="C26" s="281">
        <v>425.5</v>
      </c>
      <c r="D26" s="281">
        <f t="shared" si="2"/>
        <v>445</v>
      </c>
      <c r="E26" s="282">
        <f t="shared" si="0"/>
        <v>0</v>
      </c>
      <c r="F26" s="282">
        <f t="shared" si="1"/>
        <v>0</v>
      </c>
      <c r="G26" s="223"/>
    </row>
    <row r="27" spans="1:7">
      <c r="A27" s="279">
        <v>34612</v>
      </c>
      <c r="B27" s="280">
        <v>424</v>
      </c>
      <c r="C27" s="281">
        <v>424</v>
      </c>
      <c r="D27" s="281">
        <f t="shared" si="2"/>
        <v>442.55</v>
      </c>
      <c r="E27" s="282">
        <f t="shared" si="0"/>
        <v>-3.5252643948296123E-3</v>
      </c>
      <c r="F27" s="282">
        <f t="shared" si="1"/>
        <v>-3.531492781471037E-3</v>
      </c>
      <c r="G27" s="223"/>
    </row>
    <row r="28" spans="1:7">
      <c r="A28" s="279">
        <v>34613</v>
      </c>
      <c r="B28" s="280">
        <v>433</v>
      </c>
      <c r="C28" s="281">
        <v>433</v>
      </c>
      <c r="D28" s="281">
        <f t="shared" si="2"/>
        <v>440.2</v>
      </c>
      <c r="E28" s="282">
        <f t="shared" si="0"/>
        <v>2.1226415094339621E-2</v>
      </c>
      <c r="F28" s="282">
        <f t="shared" si="1"/>
        <v>2.1004272770531997E-2</v>
      </c>
      <c r="G28" s="223"/>
    </row>
    <row r="29" spans="1:7">
      <c r="A29" s="279">
        <v>34614</v>
      </c>
      <c r="B29" s="280">
        <v>437.8</v>
      </c>
      <c r="C29" s="281">
        <v>437.8</v>
      </c>
      <c r="D29" s="281">
        <f t="shared" si="2"/>
        <v>438.13</v>
      </c>
      <c r="E29" s="282">
        <f t="shared" si="0"/>
        <v>1.1085450346420349E-2</v>
      </c>
      <c r="F29" s="282">
        <f t="shared" si="1"/>
        <v>1.1024457086272784E-2</v>
      </c>
      <c r="G29" s="223"/>
    </row>
    <row r="30" spans="1:7">
      <c r="A30" s="279">
        <v>34617</v>
      </c>
      <c r="B30" s="280">
        <v>451.5</v>
      </c>
      <c r="C30" s="281">
        <v>451.5</v>
      </c>
      <c r="D30" s="281">
        <f t="shared" si="2"/>
        <v>437.58000000000004</v>
      </c>
      <c r="E30" s="282">
        <f t="shared" si="0"/>
        <v>3.1292827775239812E-2</v>
      </c>
      <c r="F30" s="282">
        <f t="shared" si="1"/>
        <v>3.0813187768277496E-2</v>
      </c>
      <c r="G30" s="223"/>
    </row>
    <row r="31" spans="1:7">
      <c r="A31" s="279">
        <v>34618</v>
      </c>
      <c r="B31" s="280">
        <v>464</v>
      </c>
      <c r="C31" s="281">
        <v>464</v>
      </c>
      <c r="D31" s="281">
        <f t="shared" si="2"/>
        <v>438.33000000000004</v>
      </c>
      <c r="E31" s="282">
        <f t="shared" si="0"/>
        <v>2.768549280177187E-2</v>
      </c>
      <c r="F31" s="282">
        <f t="shared" si="1"/>
        <v>2.7309179369215078E-2</v>
      </c>
      <c r="G31" s="223"/>
    </row>
    <row r="32" spans="1:7">
      <c r="A32" s="279">
        <v>34619</v>
      </c>
      <c r="B32" s="280">
        <v>469</v>
      </c>
      <c r="C32" s="281">
        <v>469</v>
      </c>
      <c r="D32" s="281">
        <f t="shared" si="2"/>
        <v>439.83000000000004</v>
      </c>
      <c r="E32" s="282">
        <f t="shared" si="0"/>
        <v>1.0775862068965518E-2</v>
      </c>
      <c r="F32" s="282">
        <f t="shared" si="1"/>
        <v>1.0718216220024107E-2</v>
      </c>
      <c r="G32" s="223"/>
    </row>
    <row r="33" spans="1:7">
      <c r="A33" s="279">
        <v>34620</v>
      </c>
      <c r="B33" s="280">
        <v>467</v>
      </c>
      <c r="C33" s="281">
        <v>467</v>
      </c>
      <c r="D33" s="281">
        <f t="shared" si="2"/>
        <v>442.28000000000003</v>
      </c>
      <c r="E33" s="282">
        <f t="shared" si="0"/>
        <v>-4.2643923240938165E-3</v>
      </c>
      <c r="F33" s="282">
        <f t="shared" si="1"/>
        <v>-4.2735107773820497E-3</v>
      </c>
      <c r="G33" s="223"/>
    </row>
    <row r="34" spans="1:7">
      <c r="A34" s="279">
        <v>34621</v>
      </c>
      <c r="B34" s="280">
        <v>468</v>
      </c>
      <c r="C34" s="281">
        <v>468</v>
      </c>
      <c r="D34" s="281">
        <f t="shared" si="2"/>
        <v>446.53000000000003</v>
      </c>
      <c r="E34" s="282">
        <f t="shared" si="0"/>
        <v>2.1413276231263384E-3</v>
      </c>
      <c r="F34" s="282">
        <f t="shared" si="1"/>
        <v>2.1390382487494423E-3</v>
      </c>
      <c r="G34" s="223"/>
    </row>
    <row r="35" spans="1:7">
      <c r="A35" s="279">
        <v>34624</v>
      </c>
      <c r="B35" s="280">
        <v>470.4</v>
      </c>
      <c r="C35" s="281">
        <v>470.4</v>
      </c>
      <c r="D35" s="281">
        <f t="shared" si="2"/>
        <v>451.02</v>
      </c>
      <c r="E35" s="282">
        <f t="shared" ref="E35:E67" si="3">(C35-C34)/C34</f>
        <v>5.1282051282050796E-3</v>
      </c>
      <c r="F35" s="282">
        <f t="shared" ref="F35:F66" si="4">LN(1+E35)</f>
        <v>5.1151006667704089E-3</v>
      </c>
      <c r="G35" s="223"/>
    </row>
    <row r="36" spans="1:7">
      <c r="A36" s="279">
        <v>34625</v>
      </c>
      <c r="B36" s="280">
        <v>452.4</v>
      </c>
      <c r="C36" s="281">
        <v>452.4</v>
      </c>
      <c r="D36" s="281">
        <f t="shared" si="2"/>
        <v>453.71000000000004</v>
      </c>
      <c r="E36" s="282">
        <f t="shared" si="3"/>
        <v>-3.826530612244898E-2</v>
      </c>
      <c r="F36" s="282">
        <f t="shared" si="4"/>
        <v>-3.9016652342451733E-2</v>
      </c>
      <c r="G36" s="223"/>
    </row>
    <row r="37" spans="1:7">
      <c r="A37" s="279">
        <v>34626</v>
      </c>
      <c r="B37" s="280">
        <v>444.5</v>
      </c>
      <c r="C37" s="281">
        <v>444.5</v>
      </c>
      <c r="D37" s="281">
        <f t="shared" si="2"/>
        <v>455.76000000000005</v>
      </c>
      <c r="E37" s="282">
        <f t="shared" si="3"/>
        <v>-1.746242263483638E-2</v>
      </c>
      <c r="F37" s="282">
        <f t="shared" si="4"/>
        <v>-1.761668928800602E-2</v>
      </c>
      <c r="G37" s="223"/>
    </row>
    <row r="38" spans="1:7">
      <c r="A38" s="279">
        <v>34627</v>
      </c>
      <c r="B38" s="280">
        <v>438.5</v>
      </c>
      <c r="C38" s="281">
        <v>438.5</v>
      </c>
      <c r="D38" s="281">
        <f t="shared" si="2"/>
        <v>456.31000000000006</v>
      </c>
      <c r="E38" s="282">
        <f t="shared" si="3"/>
        <v>-1.3498312710911136E-2</v>
      </c>
      <c r="F38" s="282">
        <f t="shared" si="4"/>
        <v>-1.3590243141721577E-2</v>
      </c>
      <c r="G38" s="223"/>
    </row>
    <row r="39" spans="1:7">
      <c r="A39" s="279">
        <v>34628</v>
      </c>
      <c r="B39" s="280">
        <v>433.5</v>
      </c>
      <c r="C39" s="281">
        <v>433.5</v>
      </c>
      <c r="D39" s="281">
        <f t="shared" si="2"/>
        <v>455.88</v>
      </c>
      <c r="E39" s="282">
        <f t="shared" si="3"/>
        <v>-1.1402508551881414E-2</v>
      </c>
      <c r="F39" s="282">
        <f t="shared" si="4"/>
        <v>-1.1468015591641182E-2</v>
      </c>
      <c r="G39" s="223"/>
    </row>
    <row r="40" spans="1:7">
      <c r="A40" s="279">
        <v>34631</v>
      </c>
      <c r="B40" s="280">
        <v>437.3</v>
      </c>
      <c r="C40" s="281">
        <v>437.3</v>
      </c>
      <c r="D40" s="281">
        <f t="shared" si="2"/>
        <v>454.46000000000004</v>
      </c>
      <c r="E40" s="282">
        <f t="shared" si="3"/>
        <v>8.7658592848904524E-3</v>
      </c>
      <c r="F40" s="282">
        <f t="shared" si="4"/>
        <v>8.7276621982784307E-3</v>
      </c>
      <c r="G40" s="223"/>
    </row>
    <row r="41" spans="1:7">
      <c r="A41" s="279">
        <v>34632</v>
      </c>
      <c r="B41" s="280">
        <v>427</v>
      </c>
      <c r="C41" s="281">
        <v>427</v>
      </c>
      <c r="D41" s="281">
        <f t="shared" si="2"/>
        <v>450.76000000000005</v>
      </c>
      <c r="E41" s="282">
        <f t="shared" si="3"/>
        <v>-2.3553624514063596E-2</v>
      </c>
      <c r="F41" s="282">
        <f t="shared" si="4"/>
        <v>-2.3835445190250409E-2</v>
      </c>
      <c r="G41" s="223"/>
    </row>
    <row r="42" spans="1:7">
      <c r="A42" s="279">
        <v>34633</v>
      </c>
      <c r="B42" s="280">
        <v>433</v>
      </c>
      <c r="C42" s="281">
        <v>433</v>
      </c>
      <c r="D42" s="281">
        <f t="shared" si="2"/>
        <v>447.16</v>
      </c>
      <c r="E42" s="282">
        <f t="shared" si="3"/>
        <v>1.405152224824356E-2</v>
      </c>
      <c r="F42" s="282">
        <f t="shared" si="4"/>
        <v>1.3953714773865308E-2</v>
      </c>
      <c r="G42" s="223"/>
    </row>
    <row r="43" spans="1:7">
      <c r="A43" s="279">
        <v>34634</v>
      </c>
      <c r="B43" s="280">
        <v>432</v>
      </c>
      <c r="C43" s="281">
        <v>432</v>
      </c>
      <c r="D43" s="281">
        <f t="shared" ref="D43:D67" si="5">AVERAGE(C34:C43)</f>
        <v>443.66</v>
      </c>
      <c r="E43" s="282">
        <f t="shared" si="3"/>
        <v>-2.3094688221709007E-3</v>
      </c>
      <c r="F43" s="282">
        <f t="shared" si="4"/>
        <v>-2.3121397583795024E-3</v>
      </c>
      <c r="G43" s="223"/>
    </row>
    <row r="44" spans="1:7">
      <c r="A44" s="279">
        <v>34635</v>
      </c>
      <c r="B44" s="280">
        <v>435.8</v>
      </c>
      <c r="C44" s="281">
        <v>435.8</v>
      </c>
      <c r="D44" s="281">
        <f t="shared" si="5"/>
        <v>440.44000000000005</v>
      </c>
      <c r="E44" s="282">
        <f t="shared" si="3"/>
        <v>8.7962962962963229E-3</v>
      </c>
      <c r="F44" s="282">
        <f t="shared" si="4"/>
        <v>8.7578342664093051E-3</v>
      </c>
      <c r="G44" s="223"/>
    </row>
    <row r="45" spans="1:7">
      <c r="A45" s="279">
        <v>34638</v>
      </c>
      <c r="B45" s="280">
        <v>445</v>
      </c>
      <c r="C45" s="281">
        <v>445</v>
      </c>
      <c r="D45" s="281">
        <f t="shared" si="5"/>
        <v>437.9</v>
      </c>
      <c r="E45" s="282">
        <f t="shared" si="3"/>
        <v>2.1110601193207866E-2</v>
      </c>
      <c r="F45" s="282">
        <f t="shared" si="4"/>
        <v>2.0890859655720666E-2</v>
      </c>
      <c r="G45" s="223"/>
    </row>
    <row r="46" spans="1:7">
      <c r="A46" s="279">
        <v>34639</v>
      </c>
      <c r="B46" s="280">
        <v>442.5</v>
      </c>
      <c r="C46" s="281">
        <v>442.5</v>
      </c>
      <c r="D46" s="281">
        <f t="shared" si="5"/>
        <v>436.91</v>
      </c>
      <c r="E46" s="282">
        <f t="shared" si="3"/>
        <v>-5.6179775280898875E-3</v>
      </c>
      <c r="F46" s="282">
        <f t="shared" si="4"/>
        <v>-5.6338177182560199E-3</v>
      </c>
      <c r="G46" s="223"/>
    </row>
    <row r="47" spans="1:7">
      <c r="A47" s="279">
        <v>34640</v>
      </c>
      <c r="B47" s="280">
        <v>440.3</v>
      </c>
      <c r="C47" s="281">
        <v>440.3</v>
      </c>
      <c r="D47" s="281">
        <f t="shared" si="5"/>
        <v>436.49000000000007</v>
      </c>
      <c r="E47" s="282">
        <f t="shared" si="3"/>
        <v>-4.9717514124293528E-3</v>
      </c>
      <c r="F47" s="282">
        <f t="shared" si="4"/>
        <v>-4.9841516862760196E-3</v>
      </c>
      <c r="G47" s="223"/>
    </row>
    <row r="48" spans="1:7">
      <c r="A48" s="279">
        <v>34641</v>
      </c>
      <c r="B48" s="280">
        <v>437.2</v>
      </c>
      <c r="C48" s="281">
        <v>437.2</v>
      </c>
      <c r="D48" s="281">
        <f t="shared" si="5"/>
        <v>436.36</v>
      </c>
      <c r="E48" s="282">
        <f t="shared" si="3"/>
        <v>-7.0406540994776799E-3</v>
      </c>
      <c r="F48" s="282">
        <f t="shared" si="4"/>
        <v>-7.0655564593246492E-3</v>
      </c>
      <c r="G48" s="223"/>
    </row>
    <row r="49" spans="1:7">
      <c r="A49" s="279">
        <v>34642</v>
      </c>
      <c r="B49" s="280">
        <v>447.3</v>
      </c>
      <c r="C49" s="281">
        <v>447.3</v>
      </c>
      <c r="D49" s="281">
        <f t="shared" si="5"/>
        <v>437.73999999999995</v>
      </c>
      <c r="E49" s="282">
        <f t="shared" si="3"/>
        <v>2.3101555352241589E-2</v>
      </c>
      <c r="F49" s="282">
        <f t="shared" si="4"/>
        <v>2.2838754136418959E-2</v>
      </c>
      <c r="G49" s="223"/>
    </row>
    <row r="50" spans="1:7">
      <c r="A50" s="279">
        <v>34645</v>
      </c>
      <c r="B50" s="280">
        <v>440</v>
      </c>
      <c r="C50" s="281">
        <v>440</v>
      </c>
      <c r="D50" s="281">
        <f t="shared" si="5"/>
        <v>438.01000000000005</v>
      </c>
      <c r="E50" s="282">
        <f t="shared" si="3"/>
        <v>-1.6320143080706485E-2</v>
      </c>
      <c r="F50" s="282">
        <f t="shared" si="4"/>
        <v>-1.6454783526495625E-2</v>
      </c>
      <c r="G50" s="223"/>
    </row>
    <row r="51" spans="1:7">
      <c r="A51" s="279">
        <v>34646</v>
      </c>
      <c r="B51" s="280">
        <v>438.5</v>
      </c>
      <c r="C51" s="281">
        <v>438.5</v>
      </c>
      <c r="D51" s="281">
        <f t="shared" si="5"/>
        <v>439.16</v>
      </c>
      <c r="E51" s="282">
        <f t="shared" si="3"/>
        <v>-3.4090909090909089E-3</v>
      </c>
      <c r="F51" s="282">
        <f t="shared" si="4"/>
        <v>-3.4149151000691241E-3</v>
      </c>
      <c r="G51" s="223"/>
    </row>
    <row r="52" spans="1:7">
      <c r="A52" s="279">
        <v>34647</v>
      </c>
      <c r="B52" s="280">
        <v>445.5</v>
      </c>
      <c r="C52" s="281">
        <v>445.5</v>
      </c>
      <c r="D52" s="281">
        <f t="shared" si="5"/>
        <v>440.41</v>
      </c>
      <c r="E52" s="282">
        <f t="shared" si="3"/>
        <v>1.596351197263398E-2</v>
      </c>
      <c r="F52" s="282">
        <f t="shared" si="4"/>
        <v>1.5837435098626305E-2</v>
      </c>
      <c r="G52" s="223"/>
    </row>
    <row r="53" spans="1:7">
      <c r="A53" s="279">
        <v>34648</v>
      </c>
      <c r="B53" s="280">
        <v>447</v>
      </c>
      <c r="C53" s="281">
        <v>447</v>
      </c>
      <c r="D53" s="281">
        <f t="shared" si="5"/>
        <v>441.91</v>
      </c>
      <c r="E53" s="282">
        <f t="shared" si="3"/>
        <v>3.3670033670033669E-3</v>
      </c>
      <c r="F53" s="282">
        <f t="shared" si="4"/>
        <v>3.3613477027049274E-3</v>
      </c>
      <c r="G53" s="223"/>
    </row>
    <row r="54" spans="1:7">
      <c r="A54" s="279">
        <v>34649</v>
      </c>
      <c r="B54" s="280">
        <v>452.5</v>
      </c>
      <c r="C54" s="281">
        <v>452.5</v>
      </c>
      <c r="D54" s="281">
        <f t="shared" si="5"/>
        <v>443.58000000000004</v>
      </c>
      <c r="E54" s="282">
        <f t="shared" si="3"/>
        <v>1.2304250559284116E-2</v>
      </c>
      <c r="F54" s="282">
        <f t="shared" si="4"/>
        <v>1.2229168526411944E-2</v>
      </c>
      <c r="G54" s="223"/>
    </row>
    <row r="55" spans="1:7">
      <c r="A55" s="279">
        <v>34652</v>
      </c>
      <c r="B55" s="280">
        <v>455.5</v>
      </c>
      <c r="C55" s="281">
        <v>455.5</v>
      </c>
      <c r="D55" s="281">
        <f t="shared" si="5"/>
        <v>444.63</v>
      </c>
      <c r="E55" s="282">
        <f t="shared" si="3"/>
        <v>6.6298342541436465E-3</v>
      </c>
      <c r="F55" s="282">
        <f t="shared" si="4"/>
        <v>6.6079535600320942E-3</v>
      </c>
      <c r="G55" s="223"/>
    </row>
    <row r="56" spans="1:7">
      <c r="A56" s="279">
        <v>34653</v>
      </c>
      <c r="B56" s="280">
        <v>456.7</v>
      </c>
      <c r="C56" s="281">
        <v>456.7</v>
      </c>
      <c r="D56" s="281">
        <f t="shared" si="5"/>
        <v>446.05</v>
      </c>
      <c r="E56" s="282">
        <f t="shared" si="3"/>
        <v>2.6344676180021704E-3</v>
      </c>
      <c r="F56" s="282">
        <f t="shared" si="4"/>
        <v>2.6310034909401976E-3</v>
      </c>
      <c r="G56" s="223"/>
    </row>
    <row r="57" spans="1:7">
      <c r="A57" s="279">
        <v>34654</v>
      </c>
      <c r="B57" s="280"/>
      <c r="C57" s="281">
        <v>456.7</v>
      </c>
      <c r="D57" s="281">
        <f t="shared" si="5"/>
        <v>447.68999999999994</v>
      </c>
      <c r="E57" s="282">
        <f t="shared" si="3"/>
        <v>0</v>
      </c>
      <c r="F57" s="282">
        <f t="shared" si="4"/>
        <v>0</v>
      </c>
      <c r="G57" s="223"/>
    </row>
    <row r="58" spans="1:7">
      <c r="A58" s="279">
        <v>34655</v>
      </c>
      <c r="B58" s="280">
        <v>454.2</v>
      </c>
      <c r="C58" s="281">
        <v>454.2</v>
      </c>
      <c r="D58" s="281">
        <f t="shared" si="5"/>
        <v>449.39</v>
      </c>
      <c r="E58" s="282">
        <f t="shared" si="3"/>
        <v>-5.4740529888329323E-3</v>
      </c>
      <c r="F58" s="282">
        <f t="shared" si="4"/>
        <v>-5.4890905194952232E-3</v>
      </c>
      <c r="G58" s="223"/>
    </row>
    <row r="59" spans="1:7">
      <c r="A59" s="279">
        <v>34656</v>
      </c>
      <c r="B59" s="280">
        <v>460</v>
      </c>
      <c r="C59" s="281">
        <v>460</v>
      </c>
      <c r="D59" s="281">
        <f t="shared" si="5"/>
        <v>450.65999999999997</v>
      </c>
      <c r="E59" s="282">
        <f t="shared" si="3"/>
        <v>1.276970497578162E-2</v>
      </c>
      <c r="F59" s="282">
        <f t="shared" si="4"/>
        <v>1.2688859811682556E-2</v>
      </c>
      <c r="G59" s="223"/>
    </row>
    <row r="60" spans="1:7">
      <c r="A60" s="279">
        <v>34659</v>
      </c>
      <c r="B60" s="280">
        <v>468.7</v>
      </c>
      <c r="C60" s="281">
        <v>468.7</v>
      </c>
      <c r="D60" s="281">
        <f t="shared" si="5"/>
        <v>453.52999999999992</v>
      </c>
      <c r="E60" s="282">
        <f t="shared" si="3"/>
        <v>1.8913043478260845E-2</v>
      </c>
      <c r="F60" s="282">
        <f t="shared" si="4"/>
        <v>1.8736415445519832E-2</v>
      </c>
      <c r="G60" s="223"/>
    </row>
    <row r="61" spans="1:7">
      <c r="A61" s="279">
        <v>34660</v>
      </c>
      <c r="B61" s="280">
        <v>460</v>
      </c>
      <c r="C61" s="281">
        <v>460</v>
      </c>
      <c r="D61" s="281">
        <f t="shared" si="5"/>
        <v>455.67999999999995</v>
      </c>
      <c r="E61" s="282">
        <f t="shared" si="3"/>
        <v>-1.8561979944527393E-2</v>
      </c>
      <c r="F61" s="282">
        <f t="shared" si="4"/>
        <v>-1.873641544551969E-2</v>
      </c>
      <c r="G61" s="223"/>
    </row>
    <row r="62" spans="1:7">
      <c r="A62" s="279">
        <v>34661</v>
      </c>
      <c r="B62" s="280">
        <v>453.5</v>
      </c>
      <c r="C62" s="281">
        <v>453.5</v>
      </c>
      <c r="D62" s="281">
        <f t="shared" si="5"/>
        <v>456.4799999999999</v>
      </c>
      <c r="E62" s="282">
        <f t="shared" si="3"/>
        <v>-1.4130434782608696E-2</v>
      </c>
      <c r="F62" s="282">
        <f t="shared" si="4"/>
        <v>-1.4231219927949365E-2</v>
      </c>
      <c r="G62" s="223"/>
    </row>
    <row r="63" spans="1:7">
      <c r="A63" s="279">
        <v>34662</v>
      </c>
      <c r="B63" s="280">
        <v>454.2</v>
      </c>
      <c r="C63" s="281">
        <v>454.2</v>
      </c>
      <c r="D63" s="281">
        <f t="shared" si="5"/>
        <v>457.19999999999993</v>
      </c>
      <c r="E63" s="282">
        <f t="shared" si="3"/>
        <v>1.5435501653803497E-3</v>
      </c>
      <c r="F63" s="282">
        <f t="shared" si="4"/>
        <v>1.5423601162668607E-3</v>
      </c>
      <c r="G63" s="223"/>
    </row>
    <row r="64" spans="1:7">
      <c r="A64" s="279">
        <v>34663</v>
      </c>
      <c r="B64" s="280">
        <v>458.5</v>
      </c>
      <c r="C64" s="281">
        <v>458.5</v>
      </c>
      <c r="D64" s="281">
        <f t="shared" si="5"/>
        <v>457.8</v>
      </c>
      <c r="E64" s="282">
        <f t="shared" si="3"/>
        <v>9.4671950682518966E-3</v>
      </c>
      <c r="F64" s="282">
        <f t="shared" si="4"/>
        <v>9.4226620250614634E-3</v>
      </c>
      <c r="G64" s="223"/>
    </row>
    <row r="65" spans="1:7">
      <c r="A65" s="279">
        <v>34666</v>
      </c>
      <c r="B65" s="280">
        <v>443.5</v>
      </c>
      <c r="C65" s="281">
        <v>443.5</v>
      </c>
      <c r="D65" s="281">
        <f t="shared" si="5"/>
        <v>456.6</v>
      </c>
      <c r="E65" s="282">
        <f t="shared" si="3"/>
        <v>-3.271537622682661E-2</v>
      </c>
      <c r="F65" s="282">
        <f t="shared" si="4"/>
        <v>-3.3262489946885382E-2</v>
      </c>
      <c r="G65" s="223"/>
    </row>
    <row r="66" spans="1:7">
      <c r="A66" s="279">
        <v>34667</v>
      </c>
      <c r="B66" s="280">
        <v>428.6</v>
      </c>
      <c r="C66" s="281">
        <v>428.6</v>
      </c>
      <c r="D66" s="281">
        <f t="shared" si="5"/>
        <v>453.79000000000008</v>
      </c>
      <c r="E66" s="282">
        <f t="shared" si="3"/>
        <v>-3.3596392333709084E-2</v>
      </c>
      <c r="F66" s="282">
        <f t="shared" si="4"/>
        <v>-3.4173718710157439E-2</v>
      </c>
      <c r="G66" s="223"/>
    </row>
    <row r="67" spans="1:7">
      <c r="A67" s="279">
        <v>34668</v>
      </c>
      <c r="B67" s="280">
        <v>427</v>
      </c>
      <c r="C67" s="281">
        <v>427</v>
      </c>
      <c r="D67" s="281">
        <f t="shared" si="5"/>
        <v>450.82</v>
      </c>
      <c r="E67" s="282">
        <f t="shared" si="3"/>
        <v>-3.7330844610359839E-3</v>
      </c>
      <c r="F67" s="282">
        <f>LN(1+E67)</f>
        <v>-3.7400698108520877E-3</v>
      </c>
      <c r="G67" s="223"/>
    </row>
    <row r="68" spans="1:7">
      <c r="A68" s="283"/>
      <c r="B68" s="283"/>
      <c r="C68" s="284"/>
      <c r="D68" s="284"/>
      <c r="E68" s="284"/>
      <c r="F68" s="284"/>
      <c r="G68" s="223"/>
    </row>
    <row r="69" spans="1:7">
      <c r="A69" s="283" t="s">
        <v>234</v>
      </c>
      <c r="B69" s="285">
        <f>AVERAGE(B2:B67)</f>
        <v>454.78437499999995</v>
      </c>
      <c r="C69" s="285">
        <f>AVERAGE(C2:C67)</f>
        <v>454.36969696969692</v>
      </c>
      <c r="D69" s="285"/>
      <c r="E69" s="286">
        <f>AVERAGE(E2:E67)</f>
        <v>-2.214890786496216E-3</v>
      </c>
      <c r="F69" s="286">
        <f>AVERAGE(F2:F67)</f>
        <v>-2.3354771210462168E-3</v>
      </c>
      <c r="G69" s="223"/>
    </row>
    <row r="70" spans="1:7">
      <c r="A70" s="283" t="s">
        <v>235</v>
      </c>
      <c r="B70" s="287">
        <f>STDEV(B2:B67)</f>
        <v>19.270812033450259</v>
      </c>
      <c r="C70" s="287">
        <f>STDEV(C2:C67)</f>
        <v>19.313542237324405</v>
      </c>
      <c r="D70" s="287"/>
      <c r="E70" s="286">
        <f>STDEV(E2:E67)</f>
        <v>1.5433504146682146E-2</v>
      </c>
      <c r="F70" s="286">
        <f>STDEV(F2:F67)</f>
        <v>1.5502064110566307E-2</v>
      </c>
      <c r="G70" s="223"/>
    </row>
    <row r="71" spans="1:7">
      <c r="A71" s="283"/>
      <c r="B71" s="283"/>
      <c r="C71" s="284"/>
      <c r="D71" s="284"/>
      <c r="E71" s="284" t="s">
        <v>236</v>
      </c>
      <c r="F71" s="286">
        <f>F70*SQRT(250)</f>
        <v>0.24510915511670914</v>
      </c>
      <c r="G71" s="223"/>
    </row>
    <row r="72" spans="1:7">
      <c r="A72" s="283"/>
      <c r="B72" s="283"/>
      <c r="C72" s="284"/>
      <c r="D72" s="284"/>
      <c r="E72" s="284"/>
      <c r="F72" s="284"/>
      <c r="G72" s="223"/>
    </row>
  </sheetData>
  <phoneticPr fontId="0" type="noConversion"/>
  <printOptions gridLines="1" gridLinesSet="0"/>
  <pageMargins left="0.78740157499999996" right="0.78740157499999996" top="0.984251969" bottom="0.984251969" header="0.51181102300000003" footer="0.51181102300000003"/>
  <pageSetup paperSize="9" orientation="portrait" horizontalDpi="4294967292" verticalDpi="300" r:id="rId1"/>
  <headerFooter alignWithMargins="0">
    <oddHeader>&amp;C&amp;F      &amp;A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election activeCell="B3" sqref="B3"/>
    </sheetView>
  </sheetViews>
  <sheetFormatPr baseColWidth="10" defaultRowHeight="12.75"/>
  <cols>
    <col min="1" max="1" width="14.7109375" customWidth="1"/>
    <col min="2" max="2" width="11.5703125" customWidth="1"/>
    <col min="3" max="3" width="13" customWidth="1"/>
    <col min="4" max="4" width="12.28515625" customWidth="1"/>
    <col min="5" max="5" width="18.5703125" customWidth="1"/>
    <col min="6" max="6" width="10.85546875" customWidth="1"/>
  </cols>
  <sheetData>
    <row r="1" spans="1:6">
      <c r="A1" s="8" t="s">
        <v>25</v>
      </c>
      <c r="B1" s="8"/>
      <c r="C1" s="9"/>
      <c r="D1" s="9"/>
      <c r="E1" s="9"/>
      <c r="F1" s="9"/>
    </row>
    <row r="2" spans="1:6" ht="27" customHeight="1">
      <c r="A2" s="10" t="s">
        <v>26</v>
      </c>
      <c r="B2" s="10" t="s">
        <v>27</v>
      </c>
      <c r="C2" s="40" t="s">
        <v>28</v>
      </c>
      <c r="D2" s="10" t="s">
        <v>29</v>
      </c>
      <c r="E2" s="127" t="s">
        <v>260</v>
      </c>
      <c r="F2" s="9"/>
    </row>
    <row r="3" spans="1:6">
      <c r="A3" s="239">
        <v>1000</v>
      </c>
      <c r="B3" s="20">
        <v>0.03</v>
      </c>
      <c r="C3" s="32">
        <v>1</v>
      </c>
      <c r="D3" s="128">
        <f>A3*B3*C3</f>
        <v>30</v>
      </c>
      <c r="E3" s="11">
        <f>A3*(1+C3*B3)</f>
        <v>1030</v>
      </c>
      <c r="F3" s="9"/>
    </row>
    <row r="4" spans="1:6">
      <c r="A4" s="17">
        <v>1000</v>
      </c>
      <c r="B4" s="20">
        <v>0.03</v>
      </c>
      <c r="C4" s="32">
        <f>1/12</f>
        <v>8.3333333333333329E-2</v>
      </c>
      <c r="D4" s="128">
        <f>A4*B4*C4</f>
        <v>2.5</v>
      </c>
      <c r="E4" s="11">
        <f>A4*(1+C4*B4)</f>
        <v>1002.5</v>
      </c>
      <c r="F4" s="9"/>
    </row>
    <row r="5" spans="1:6">
      <c r="A5" s="17">
        <v>200</v>
      </c>
      <c r="B5" s="20">
        <v>0.03</v>
      </c>
      <c r="C5" s="32">
        <v>2</v>
      </c>
      <c r="D5" s="128">
        <f>A5*B5*C5</f>
        <v>12</v>
      </c>
      <c r="E5" s="11">
        <f>A5*(1+C5*B5)</f>
        <v>212</v>
      </c>
      <c r="F5" s="9"/>
    </row>
    <row r="6" spans="1:6">
      <c r="A6" s="9"/>
      <c r="B6" s="9"/>
      <c r="C6" s="107"/>
      <c r="D6" s="107"/>
      <c r="E6" s="9"/>
      <c r="F6" s="9"/>
    </row>
    <row r="7" spans="1:6" ht="37.5" customHeight="1">
      <c r="A7" s="10" t="s">
        <v>30</v>
      </c>
      <c r="B7" s="10" t="s">
        <v>27</v>
      </c>
      <c r="C7" s="40" t="s">
        <v>28</v>
      </c>
      <c r="D7" s="40"/>
      <c r="E7" s="127" t="s">
        <v>259</v>
      </c>
      <c r="F7" s="9"/>
    </row>
    <row r="8" spans="1:6">
      <c r="A8" s="17">
        <v>400</v>
      </c>
      <c r="B8" s="20">
        <v>0.03</v>
      </c>
      <c r="C8" s="32">
        <v>5</v>
      </c>
      <c r="D8" s="104"/>
      <c r="E8" s="11">
        <f>A8/(1+C8*B8)</f>
        <v>347.82608695652175</v>
      </c>
      <c r="F8" s="9"/>
    </row>
    <row r="9" spans="1:6">
      <c r="A9" s="17">
        <v>20000</v>
      </c>
      <c r="B9" s="20">
        <v>0.05</v>
      </c>
      <c r="C9" s="32">
        <v>4</v>
      </c>
      <c r="D9" s="104"/>
      <c r="E9" s="11">
        <f>A9/(1+C9*B9)</f>
        <v>16666.666666666668</v>
      </c>
      <c r="F9" s="9"/>
    </row>
    <row r="10" spans="1:6">
      <c r="A10" s="17">
        <v>400</v>
      </c>
      <c r="B10" s="20">
        <v>0.03</v>
      </c>
      <c r="C10" s="32">
        <v>5</v>
      </c>
      <c r="D10" s="104"/>
      <c r="E10" s="11">
        <f>A10/(1+C10*B10)</f>
        <v>347.82608695652175</v>
      </c>
      <c r="F10" s="9"/>
    </row>
    <row r="11" spans="1:6">
      <c r="A11" s="9"/>
      <c r="B11" s="9"/>
      <c r="C11" s="9"/>
      <c r="D11" s="9"/>
      <c r="E11" s="9"/>
      <c r="F11" s="9"/>
    </row>
    <row r="12" spans="1:6" ht="25.5">
      <c r="A12" s="10" t="s">
        <v>31</v>
      </c>
      <c r="B12" s="10" t="s">
        <v>27</v>
      </c>
      <c r="C12" s="40" t="s">
        <v>30</v>
      </c>
      <c r="D12" s="40"/>
      <c r="E12" s="127" t="s">
        <v>258</v>
      </c>
      <c r="F12" s="9"/>
    </row>
    <row r="13" spans="1:6">
      <c r="A13" s="17">
        <v>100</v>
      </c>
      <c r="B13" s="20">
        <v>0.03</v>
      </c>
      <c r="C13" s="33">
        <v>200</v>
      </c>
      <c r="D13" s="104"/>
      <c r="E13" s="129">
        <f>(C13-A13)/A13/B13</f>
        <v>33.333333333333336</v>
      </c>
      <c r="F13" s="9"/>
    </row>
    <row r="14" spans="1:6">
      <c r="A14" s="17">
        <v>1</v>
      </c>
      <c r="B14" s="20">
        <v>0.01</v>
      </c>
      <c r="C14" s="32">
        <v>1.01</v>
      </c>
      <c r="D14" s="104"/>
      <c r="E14" s="129">
        <f>(C14-A14)/A14/B14</f>
        <v>1.0000000000000009</v>
      </c>
      <c r="F14" s="9"/>
    </row>
    <row r="15" spans="1:6">
      <c r="A15" s="17">
        <v>400</v>
      </c>
      <c r="B15" s="20">
        <v>0.03</v>
      </c>
      <c r="C15" s="32">
        <v>400</v>
      </c>
      <c r="D15" s="104"/>
      <c r="E15" s="129">
        <f>(C15-A15)/A15/B15</f>
        <v>0</v>
      </c>
      <c r="F15" s="9"/>
    </row>
    <row r="16" spans="1:6">
      <c r="A16" s="9"/>
      <c r="B16" s="9"/>
      <c r="C16" s="9"/>
      <c r="D16" s="9"/>
      <c r="E16" s="9"/>
      <c r="F16" s="9"/>
    </row>
    <row r="17" spans="1:6">
      <c r="A17" s="10" t="s">
        <v>31</v>
      </c>
      <c r="B17" s="10" t="s">
        <v>32</v>
      </c>
      <c r="C17" s="40" t="s">
        <v>30</v>
      </c>
      <c r="D17" s="40"/>
      <c r="E17" s="127" t="s">
        <v>257</v>
      </c>
      <c r="F17" s="9"/>
    </row>
    <row r="18" spans="1:6">
      <c r="A18" s="17">
        <v>100</v>
      </c>
      <c r="B18" s="34">
        <v>3</v>
      </c>
      <c r="C18" s="33">
        <v>200</v>
      </c>
      <c r="D18" s="104"/>
      <c r="E18" s="130">
        <f>(C18-A18)/A18/B18</f>
        <v>0.33333333333333331</v>
      </c>
      <c r="F18" s="9"/>
    </row>
    <row r="19" spans="1:6">
      <c r="A19" s="17">
        <v>1</v>
      </c>
      <c r="B19" s="34">
        <v>3</v>
      </c>
      <c r="C19" s="32">
        <v>1.01</v>
      </c>
      <c r="D19" s="104"/>
      <c r="E19" s="130">
        <f>(C19-A19)/A19/B19</f>
        <v>3.3333333333333361E-3</v>
      </c>
      <c r="F19" s="9"/>
    </row>
    <row r="20" spans="1:6">
      <c r="A20" s="17">
        <v>400</v>
      </c>
      <c r="B20" s="34">
        <v>3</v>
      </c>
      <c r="C20" s="32">
        <v>5</v>
      </c>
      <c r="D20" s="104"/>
      <c r="E20" s="130">
        <f>(C20-A20)/A20/B20</f>
        <v>-0.32916666666666666</v>
      </c>
      <c r="F20" s="9"/>
    </row>
    <row r="21" spans="1:6">
      <c r="A21" s="9"/>
      <c r="B21" s="9"/>
      <c r="C21" s="9"/>
      <c r="D21" s="9"/>
      <c r="E21" s="9"/>
      <c r="F21" s="9"/>
    </row>
    <row r="22" spans="1:6">
      <c r="A22" s="9" t="s">
        <v>31</v>
      </c>
      <c r="B22" s="99">
        <v>100</v>
      </c>
      <c r="C22" s="9"/>
      <c r="D22" s="9"/>
      <c r="E22" s="9"/>
      <c r="F22" s="9"/>
    </row>
    <row r="23" spans="1:6">
      <c r="A23" s="9" t="s">
        <v>33</v>
      </c>
      <c r="B23" s="24">
        <v>0.03</v>
      </c>
      <c r="C23" s="9"/>
      <c r="D23" s="9"/>
      <c r="E23" s="9"/>
      <c r="F23" s="9"/>
    </row>
    <row r="24" spans="1:6">
      <c r="A24" s="9" t="s">
        <v>32</v>
      </c>
      <c r="B24" s="22">
        <v>50</v>
      </c>
      <c r="C24" s="9" t="s">
        <v>34</v>
      </c>
      <c r="D24" s="9"/>
      <c r="E24" s="9"/>
      <c r="F24" s="9"/>
    </row>
    <row r="25" spans="1:6">
      <c r="A25" s="9"/>
      <c r="B25" s="9"/>
      <c r="C25" s="9"/>
      <c r="D25" s="9"/>
      <c r="E25" s="9"/>
      <c r="F25" s="9"/>
    </row>
    <row r="26" spans="1:6">
      <c r="A26" s="9"/>
      <c r="B26" s="9" t="str">
        <f>CONCATENATE("Aus ",TEXT(B22,"#.###")," Euro werden bei ",TEXT(B23,"0,0###%")," Zinsen")</f>
        <v>Aus 100 Euro werden bei 3,0% Zinsen</v>
      </c>
      <c r="C26" s="9"/>
      <c r="D26" s="9"/>
      <c r="E26" s="9"/>
      <c r="F26" s="9"/>
    </row>
    <row r="27" spans="1:6">
      <c r="A27" s="9"/>
      <c r="B27" s="9" t="s">
        <v>311</v>
      </c>
      <c r="C27" s="9"/>
      <c r="D27" s="9" t="s">
        <v>332</v>
      </c>
      <c r="E27" s="9"/>
      <c r="F27" s="9"/>
    </row>
    <row r="28" spans="1:6">
      <c r="A28" s="9">
        <v>0</v>
      </c>
      <c r="B28" s="9">
        <f>B22</f>
        <v>100</v>
      </c>
      <c r="C28" s="9">
        <v>0</v>
      </c>
      <c r="D28" s="98">
        <f>B22</f>
        <v>100</v>
      </c>
      <c r="E28" s="9"/>
      <c r="F28" s="9"/>
    </row>
    <row r="29" spans="1:6">
      <c r="A29" s="9">
        <f>B24</f>
        <v>50</v>
      </c>
      <c r="B29" s="9">
        <f>B22*(1+B24*B23)</f>
        <v>250</v>
      </c>
      <c r="C29" s="9">
        <f t="shared" ref="C29:C38" si="0">$B$24/10+C28</f>
        <v>5</v>
      </c>
      <c r="D29" s="9">
        <f>$B$22*(1+$B$23)^C29</f>
        <v>115.92740742999999</v>
      </c>
      <c r="E29" s="9"/>
      <c r="F29" s="9"/>
    </row>
    <row r="30" spans="1:6">
      <c r="A30" s="9"/>
      <c r="B30" s="9"/>
      <c r="C30" s="9">
        <f t="shared" si="0"/>
        <v>10</v>
      </c>
      <c r="D30" s="9">
        <f t="shared" ref="D30:D38" si="1">$B$22*(1+$B$23)^C30</f>
        <v>134.39163793441219</v>
      </c>
      <c r="E30" s="9"/>
      <c r="F30" s="9"/>
    </row>
    <row r="31" spans="1:6">
      <c r="A31" s="9"/>
      <c r="B31" s="9"/>
      <c r="C31" s="9">
        <f t="shared" si="0"/>
        <v>15</v>
      </c>
      <c r="D31" s="9">
        <f t="shared" si="1"/>
        <v>155.79674166007644</v>
      </c>
      <c r="E31" s="9"/>
      <c r="F31" s="9"/>
    </row>
    <row r="32" spans="1:6">
      <c r="A32" s="9"/>
      <c r="B32" s="9"/>
      <c r="C32" s="9">
        <f t="shared" si="0"/>
        <v>20</v>
      </c>
      <c r="D32" s="9">
        <f t="shared" si="1"/>
        <v>180.61112346694134</v>
      </c>
      <c r="E32" s="9"/>
      <c r="F32" s="9"/>
    </row>
    <row r="33" spans="1:6">
      <c r="A33" s="9"/>
      <c r="B33" s="9"/>
      <c r="C33" s="9">
        <f t="shared" si="0"/>
        <v>25</v>
      </c>
      <c r="D33" s="9">
        <f t="shared" si="1"/>
        <v>209.37779296542138</v>
      </c>
      <c r="E33" s="9"/>
      <c r="F33" s="9"/>
    </row>
    <row r="34" spans="1:6">
      <c r="A34" s="9"/>
      <c r="B34" s="9"/>
      <c r="C34" s="9">
        <f t="shared" si="0"/>
        <v>30</v>
      </c>
      <c r="D34" s="9">
        <f t="shared" si="1"/>
        <v>242.72624711896592</v>
      </c>
      <c r="E34" s="9"/>
      <c r="F34" s="9"/>
    </row>
    <row r="35" spans="1:6">
      <c r="A35" s="9"/>
      <c r="B35" s="9"/>
      <c r="C35" s="9">
        <f t="shared" si="0"/>
        <v>35</v>
      </c>
      <c r="D35" s="9">
        <f t="shared" si="1"/>
        <v>281.38624543715224</v>
      </c>
      <c r="E35" s="9"/>
      <c r="F35" s="9"/>
    </row>
    <row r="36" spans="1:6">
      <c r="A36" s="9"/>
      <c r="B36" s="9"/>
      <c r="C36" s="9">
        <f t="shared" si="0"/>
        <v>40</v>
      </c>
      <c r="D36" s="9">
        <f t="shared" si="1"/>
        <v>326.20377919990722</v>
      </c>
      <c r="E36" s="9"/>
      <c r="F36" s="9"/>
    </row>
    <row r="37" spans="1:6">
      <c r="A37" s="9"/>
      <c r="B37" s="9"/>
      <c r="C37" s="9">
        <f t="shared" si="0"/>
        <v>45</v>
      </c>
      <c r="D37" s="9">
        <f t="shared" si="1"/>
        <v>378.15958416513399</v>
      </c>
      <c r="E37" s="9"/>
      <c r="F37" s="9"/>
    </row>
    <row r="38" spans="1:6">
      <c r="A38" s="9"/>
      <c r="B38" s="9"/>
      <c r="C38" s="9">
        <f t="shared" si="0"/>
        <v>50</v>
      </c>
      <c r="D38" s="9">
        <f t="shared" si="1"/>
        <v>438.39060187070862</v>
      </c>
      <c r="E38" s="9"/>
      <c r="F38" s="9"/>
    </row>
    <row r="39" spans="1:6">
      <c r="A39" s="9"/>
      <c r="B39" s="9"/>
      <c r="C39" s="9"/>
      <c r="D39" s="9"/>
      <c r="E39" s="9"/>
      <c r="F39" s="9"/>
    </row>
    <row r="40" spans="1:6">
      <c r="A40" s="9"/>
      <c r="B40" s="9"/>
      <c r="C40" s="9"/>
      <c r="D40" s="9"/>
      <c r="E40" s="9"/>
      <c r="F40" s="9"/>
    </row>
  </sheetData>
  <phoneticPr fontId="0" type="noConversion"/>
  <printOptions gridLinesSet="0"/>
  <pageMargins left="0.78740157499999996" right="0.78740157499999996" top="0.984251969" bottom="0.984251969" header="0.51181102300000003" footer="0.51181102300000003"/>
  <pageSetup paperSize="9" orientation="portrait" horizontalDpi="4294967292" verticalDpi="300" r:id="rId1"/>
  <headerFooter alignWithMargins="0">
    <oddHeader>&amp;C&amp;F      &amp;A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B3" sqref="B3"/>
    </sheetView>
  </sheetViews>
  <sheetFormatPr baseColWidth="10" defaultRowHeight="12.75"/>
  <cols>
    <col min="1" max="1" width="16.5703125" customWidth="1"/>
    <col min="2" max="2" width="14.140625" customWidth="1"/>
    <col min="3" max="3" width="12.85546875" customWidth="1"/>
    <col min="4" max="4" width="14.5703125" customWidth="1"/>
    <col min="5" max="5" width="5.140625" customWidth="1"/>
  </cols>
  <sheetData>
    <row r="1" spans="1:5">
      <c r="A1" s="8"/>
      <c r="B1" s="261"/>
      <c r="C1" s="261"/>
      <c r="D1" s="9"/>
      <c r="E1" s="9"/>
    </row>
    <row r="2" spans="1:5">
      <c r="A2" s="8"/>
      <c r="B2" s="69" t="s">
        <v>38</v>
      </c>
      <c r="C2" s="69" t="s">
        <v>39</v>
      </c>
      <c r="D2" s="9"/>
      <c r="E2" s="9"/>
    </row>
    <row r="3" spans="1:5">
      <c r="A3" s="262" t="s">
        <v>307</v>
      </c>
      <c r="B3" s="86">
        <v>801</v>
      </c>
      <c r="C3" s="86">
        <v>1602</v>
      </c>
      <c r="D3" s="9"/>
      <c r="E3" s="9"/>
    </row>
    <row r="4" spans="1:5">
      <c r="A4" s="9"/>
      <c r="B4" s="9"/>
      <c r="C4" s="9"/>
      <c r="D4" s="9"/>
      <c r="E4" s="9"/>
    </row>
    <row r="5" spans="1:5">
      <c r="A5" s="46"/>
      <c r="B5" s="89" t="s">
        <v>36</v>
      </c>
      <c r="C5" s="89"/>
      <c r="D5" s="81"/>
      <c r="E5" s="9"/>
    </row>
    <row r="6" spans="1:5">
      <c r="A6" s="253" t="s">
        <v>33</v>
      </c>
      <c r="B6" s="15" t="s">
        <v>282</v>
      </c>
      <c r="C6" s="123"/>
      <c r="D6" s="15"/>
      <c r="E6" s="9"/>
    </row>
    <row r="7" spans="1:5">
      <c r="A7" s="147" t="s">
        <v>37</v>
      </c>
      <c r="B7" s="68" t="s">
        <v>38</v>
      </c>
      <c r="C7" s="68" t="s">
        <v>39</v>
      </c>
      <c r="D7" s="8"/>
      <c r="E7" s="9"/>
    </row>
    <row r="8" spans="1:5">
      <c r="A8" s="254">
        <v>0.01</v>
      </c>
      <c r="B8" s="41">
        <f>ROUNDDOWN(B$3/A8,0)</f>
        <v>80100</v>
      </c>
      <c r="C8" s="41">
        <f>ROUNDDOWN(C$3/A8,0)</f>
        <v>160200</v>
      </c>
      <c r="D8" s="9"/>
      <c r="E8" s="9"/>
    </row>
    <row r="9" spans="1:5">
      <c r="A9" s="254">
        <v>0.02</v>
      </c>
      <c r="B9" s="41">
        <f t="shared" ref="B9:B17" si="0">ROUNDDOWN(B$3/A9,0)</f>
        <v>40050</v>
      </c>
      <c r="C9" s="41">
        <f t="shared" ref="C9:C17" si="1">ROUNDDOWN(C$3/A9,0)</f>
        <v>80100</v>
      </c>
      <c r="D9" s="9"/>
      <c r="E9" s="9"/>
    </row>
    <row r="10" spans="1:5">
      <c r="A10" s="139">
        <v>0.03</v>
      </c>
      <c r="B10" s="41">
        <f t="shared" si="0"/>
        <v>26700</v>
      </c>
      <c r="C10" s="41">
        <f t="shared" si="1"/>
        <v>53400</v>
      </c>
      <c r="D10" s="9"/>
      <c r="E10" s="9"/>
    </row>
    <row r="11" spans="1:5">
      <c r="A11" s="139">
        <v>0.04</v>
      </c>
      <c r="B11" s="41">
        <f t="shared" si="0"/>
        <v>20025</v>
      </c>
      <c r="C11" s="41">
        <f t="shared" si="1"/>
        <v>40050</v>
      </c>
      <c r="D11" s="9"/>
      <c r="E11" s="9"/>
    </row>
    <row r="12" spans="1:5">
      <c r="A12" s="139">
        <v>0.05</v>
      </c>
      <c r="B12" s="41">
        <f t="shared" si="0"/>
        <v>16020</v>
      </c>
      <c r="C12" s="41">
        <f t="shared" si="1"/>
        <v>32040</v>
      </c>
      <c r="D12" s="9"/>
      <c r="E12" s="9"/>
    </row>
    <row r="13" spans="1:5">
      <c r="A13" s="139">
        <v>0.06</v>
      </c>
      <c r="B13" s="41">
        <f t="shared" si="0"/>
        <v>13350</v>
      </c>
      <c r="C13" s="41">
        <f t="shared" si="1"/>
        <v>26700</v>
      </c>
      <c r="D13" s="9"/>
      <c r="E13" s="9"/>
    </row>
    <row r="14" spans="1:5">
      <c r="A14" s="139">
        <v>7.0000000000000007E-2</v>
      </c>
      <c r="B14" s="41">
        <f t="shared" si="0"/>
        <v>11442</v>
      </c>
      <c r="C14" s="41">
        <f t="shared" si="1"/>
        <v>22885</v>
      </c>
      <c r="D14" s="9"/>
      <c r="E14" s="9"/>
    </row>
    <row r="15" spans="1:5">
      <c r="A15" s="139">
        <v>0.08</v>
      </c>
      <c r="B15" s="41">
        <f t="shared" si="0"/>
        <v>10012</v>
      </c>
      <c r="C15" s="41">
        <f t="shared" si="1"/>
        <v>20025</v>
      </c>
      <c r="D15" s="9"/>
      <c r="E15" s="9"/>
    </row>
    <row r="16" spans="1:5">
      <c r="A16" s="139">
        <v>0.09</v>
      </c>
      <c r="B16" s="41">
        <f t="shared" si="0"/>
        <v>8900</v>
      </c>
      <c r="C16" s="41">
        <f t="shared" si="1"/>
        <v>17800</v>
      </c>
      <c r="D16" s="9"/>
      <c r="E16" s="9"/>
    </row>
    <row r="17" spans="1:5">
      <c r="A17" s="139">
        <v>0.1</v>
      </c>
      <c r="B17" s="41">
        <f t="shared" si="0"/>
        <v>8010</v>
      </c>
      <c r="C17" s="41">
        <f t="shared" si="1"/>
        <v>16020</v>
      </c>
      <c r="D17" s="9"/>
      <c r="E17" s="9"/>
    </row>
    <row r="18" spans="1:5">
      <c r="A18" s="9"/>
      <c r="B18" s="9"/>
      <c r="C18" s="9"/>
      <c r="D18" s="9"/>
      <c r="E18" s="9"/>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oddHeader>&amp;A</oddHeader>
    <oddFooter>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B2" sqref="B2"/>
    </sheetView>
  </sheetViews>
  <sheetFormatPr baseColWidth="10" defaultRowHeight="12.75"/>
  <cols>
    <col min="1" max="1" width="19.42578125" customWidth="1"/>
    <col min="2" max="2" width="14.42578125" customWidth="1"/>
    <col min="3" max="3" width="13.28515625" customWidth="1"/>
    <col min="4" max="4" width="9.42578125" customWidth="1"/>
    <col min="5" max="5" width="10.85546875" customWidth="1"/>
    <col min="8" max="8" width="12.28515625" customWidth="1"/>
    <col min="9" max="9" width="12.42578125" customWidth="1"/>
    <col min="10" max="10" width="12.85546875" customWidth="1"/>
    <col min="11" max="11" width="4.85546875" customWidth="1"/>
  </cols>
  <sheetData>
    <row r="1" spans="1:10">
      <c r="A1" s="8" t="s">
        <v>40</v>
      </c>
      <c r="B1" s="9"/>
      <c r="C1" s="9"/>
      <c r="D1" s="9"/>
      <c r="E1" s="9"/>
      <c r="F1" s="9"/>
      <c r="H1" s="46" t="s">
        <v>265</v>
      </c>
      <c r="I1" s="46" t="s">
        <v>261</v>
      </c>
      <c r="J1" s="46" t="s">
        <v>264</v>
      </c>
    </row>
    <row r="2" spans="1:10">
      <c r="A2" s="9" t="s">
        <v>41</v>
      </c>
      <c r="B2" s="99">
        <v>2000</v>
      </c>
      <c r="C2" s="98"/>
      <c r="D2" s="54" t="s">
        <v>294</v>
      </c>
      <c r="E2" s="9"/>
      <c r="F2" s="9"/>
      <c r="H2" s="73">
        <v>2000</v>
      </c>
      <c r="I2" s="73">
        <v>1000</v>
      </c>
      <c r="J2" s="73">
        <v>1</v>
      </c>
    </row>
    <row r="3" spans="1:10">
      <c r="A3" s="9" t="s">
        <v>42</v>
      </c>
      <c r="B3" s="35">
        <v>41044</v>
      </c>
      <c r="C3" s="100"/>
      <c r="D3" s="9"/>
      <c r="E3" s="9"/>
      <c r="F3" s="9"/>
      <c r="H3" s="241">
        <v>41044</v>
      </c>
      <c r="I3" s="241">
        <v>37874</v>
      </c>
      <c r="J3" s="241">
        <v>38603</v>
      </c>
    </row>
    <row r="4" spans="1:10">
      <c r="A4" s="9" t="s">
        <v>43</v>
      </c>
      <c r="B4" s="35">
        <v>41080</v>
      </c>
      <c r="C4" s="100"/>
      <c r="D4" s="9"/>
      <c r="E4" s="9"/>
      <c r="F4" s="9"/>
      <c r="H4" s="241">
        <v>41080</v>
      </c>
      <c r="I4" s="241">
        <v>38056</v>
      </c>
      <c r="J4" s="241">
        <v>38694</v>
      </c>
    </row>
    <row r="5" spans="1:10">
      <c r="A5" s="9" t="s">
        <v>27</v>
      </c>
      <c r="B5" s="28">
        <v>0.02</v>
      </c>
      <c r="C5" s="54"/>
      <c r="D5" s="9"/>
      <c r="E5" s="9"/>
      <c r="F5" s="9"/>
      <c r="H5" s="71">
        <v>0.02</v>
      </c>
      <c r="I5" s="71">
        <v>2.793E-2</v>
      </c>
      <c r="J5" s="71">
        <v>2.1563800000000001E-2</v>
      </c>
    </row>
    <row r="6" spans="1:10">
      <c r="A6" s="9"/>
      <c r="B6" s="9"/>
      <c r="C6" s="54"/>
      <c r="D6" s="9"/>
      <c r="E6" s="9"/>
      <c r="F6" s="9"/>
      <c r="H6" s="74"/>
      <c r="I6" s="74"/>
      <c r="J6" s="74"/>
    </row>
    <row r="7" spans="1:10">
      <c r="A7" s="9" t="s">
        <v>218</v>
      </c>
      <c r="B7" s="35">
        <v>41228</v>
      </c>
      <c r="C7" s="54" t="s">
        <v>321</v>
      </c>
      <c r="D7" s="9"/>
      <c r="E7" s="9"/>
      <c r="F7" s="9"/>
      <c r="H7" s="244">
        <v>41409</v>
      </c>
      <c r="I7" s="242"/>
      <c r="J7" s="242"/>
    </row>
    <row r="8" spans="1:10">
      <c r="A8" s="9" t="s">
        <v>319</v>
      </c>
      <c r="B8" s="35">
        <v>41044</v>
      </c>
      <c r="C8" s="9"/>
      <c r="D8" s="9"/>
      <c r="E8" s="9"/>
      <c r="F8" s="9"/>
      <c r="H8" t="s">
        <v>336</v>
      </c>
    </row>
    <row r="9" spans="1:10">
      <c r="A9" s="9" t="s">
        <v>320</v>
      </c>
      <c r="B9" s="9">
        <f>ROUND(365/(B7-B8),0)</f>
        <v>2</v>
      </c>
      <c r="C9" s="9" t="s">
        <v>164</v>
      </c>
      <c r="D9" s="9"/>
      <c r="E9" s="9"/>
      <c r="F9" s="9"/>
      <c r="H9" t="s">
        <v>337</v>
      </c>
    </row>
    <row r="10" spans="1:10">
      <c r="A10" s="9"/>
      <c r="B10" s="9"/>
      <c r="C10" s="9"/>
      <c r="D10" s="9"/>
      <c r="E10" s="9"/>
      <c r="F10" s="9"/>
      <c r="H10" s="9"/>
      <c r="I10" s="9"/>
      <c r="J10" s="9"/>
    </row>
    <row r="11" spans="1:10">
      <c r="A11" s="9"/>
      <c r="B11" s="9"/>
      <c r="C11" s="9"/>
      <c r="D11" s="9"/>
      <c r="E11" s="9"/>
      <c r="F11" s="9"/>
      <c r="H11" s="9"/>
      <c r="I11" s="9"/>
      <c r="J11" s="9"/>
    </row>
    <row r="12" spans="1:10">
      <c r="A12" s="8" t="s">
        <v>44</v>
      </c>
      <c r="B12" s="9"/>
      <c r="C12" s="9"/>
      <c r="D12" s="9"/>
      <c r="E12" s="9"/>
      <c r="F12" s="9"/>
      <c r="H12" s="9"/>
      <c r="I12" s="9"/>
      <c r="J12" s="9"/>
    </row>
    <row r="13" spans="1:10">
      <c r="A13" s="148" t="s">
        <v>45</v>
      </c>
      <c r="B13" s="148" t="s">
        <v>30</v>
      </c>
      <c r="C13" s="148" t="s">
        <v>263</v>
      </c>
      <c r="D13" s="148" t="s">
        <v>46</v>
      </c>
      <c r="E13" s="240" t="s">
        <v>266</v>
      </c>
      <c r="F13" s="9"/>
      <c r="G13" s="268" t="s">
        <v>73</v>
      </c>
      <c r="H13" s="9"/>
      <c r="I13" s="9"/>
      <c r="J13" s="9"/>
    </row>
    <row r="14" spans="1:10">
      <c r="A14" s="31" t="s">
        <v>262</v>
      </c>
      <c r="B14" s="98">
        <f>$B$2+C14</f>
        <v>2003.8888888888889</v>
      </c>
      <c r="C14" s="58">
        <f>B2*G14*B5</f>
        <v>3.8888888888888893</v>
      </c>
      <c r="D14" s="149">
        <f>DAYS360(B3,B4,TRUE)</f>
        <v>35</v>
      </c>
      <c r="E14" s="9">
        <f>360</f>
        <v>360</v>
      </c>
      <c r="F14" s="9"/>
      <c r="G14" s="9">
        <f>D14/E14</f>
        <v>9.7222222222222224E-2</v>
      </c>
      <c r="H14" s="9"/>
      <c r="I14" s="9"/>
      <c r="J14" s="9"/>
    </row>
    <row r="15" spans="1:10">
      <c r="A15" s="31" t="s">
        <v>267</v>
      </c>
      <c r="B15" s="98">
        <f>$B$2+C15</f>
        <v>2003.9452054794519</v>
      </c>
      <c r="C15" s="58">
        <f>B2*(B4-B3)/365*B5</f>
        <v>3.9452054794520546</v>
      </c>
      <c r="D15" s="110">
        <f>(B4-B3)</f>
        <v>36</v>
      </c>
      <c r="E15" s="9">
        <v>365</v>
      </c>
      <c r="F15" s="9"/>
      <c r="G15" s="9">
        <f>D15/E15</f>
        <v>9.8630136986301367E-2</v>
      </c>
      <c r="H15" s="9"/>
      <c r="I15" s="9"/>
      <c r="J15" s="9"/>
    </row>
    <row r="16" spans="1:10">
      <c r="A16" s="31" t="s">
        <v>71</v>
      </c>
      <c r="B16" s="98">
        <f>$B$2+C16</f>
        <v>2004</v>
      </c>
      <c r="C16" s="58">
        <f>B2*(B4-B3)/360*B5</f>
        <v>4</v>
      </c>
      <c r="D16" s="110">
        <f>D15</f>
        <v>36</v>
      </c>
      <c r="E16" s="9">
        <v>360</v>
      </c>
      <c r="F16" s="9"/>
      <c r="G16" s="9">
        <f>D16/E16</f>
        <v>0.1</v>
      </c>
      <c r="H16" s="9"/>
      <c r="I16" s="9"/>
      <c r="J16" s="9"/>
    </row>
    <row r="17" spans="1:10">
      <c r="A17" s="31" t="s">
        <v>268</v>
      </c>
      <c r="B17" s="98">
        <f>$B$2+C17</f>
        <v>2003.9130434782608</v>
      </c>
      <c r="C17" s="58">
        <f>B2*B5*D17/E17</f>
        <v>3.9130434782608696</v>
      </c>
      <c r="D17" s="110">
        <f>B4-B3</f>
        <v>36</v>
      </c>
      <c r="E17" s="101">
        <f>B9*(B7-B8)</f>
        <v>368</v>
      </c>
      <c r="F17" s="9"/>
      <c r="G17" s="9">
        <f>D17/E17</f>
        <v>9.7826086956521743E-2</v>
      </c>
      <c r="H17" s="9"/>
      <c r="I17" s="9"/>
      <c r="J17" s="9"/>
    </row>
    <row r="18" spans="1:10">
      <c r="A18" s="31" t="s">
        <v>297</v>
      </c>
      <c r="B18" s="98">
        <f>$B$2+C18</f>
        <v>2003.8888888888889</v>
      </c>
      <c r="C18" s="58">
        <f>B2*B5*G18</f>
        <v>3.8888888888888888</v>
      </c>
      <c r="D18" s="9">
        <f>DAYS360(B3,B4,FALSE)</f>
        <v>35</v>
      </c>
      <c r="E18" s="9">
        <v>360</v>
      </c>
      <c r="F18" s="9"/>
      <c r="G18" s="9">
        <f>D18/E18</f>
        <v>9.7222222222222224E-2</v>
      </c>
      <c r="H18" s="9"/>
      <c r="I18" s="9"/>
      <c r="J18" s="9"/>
    </row>
    <row r="19" spans="1:10">
      <c r="A19" s="9"/>
      <c r="B19" s="9"/>
      <c r="C19" s="9"/>
      <c r="D19" s="9"/>
      <c r="E19" s="9"/>
      <c r="F19" s="9"/>
      <c r="G19" s="9"/>
      <c r="H19" s="9"/>
      <c r="I19" s="9"/>
      <c r="J19" s="9"/>
    </row>
    <row r="20" spans="1:10">
      <c r="A20" s="9" t="s">
        <v>48</v>
      </c>
      <c r="B20" s="9"/>
      <c r="C20" s="9"/>
      <c r="D20" s="9"/>
      <c r="E20" s="9"/>
      <c r="F20" s="9"/>
      <c r="G20" s="9"/>
      <c r="H20" s="9"/>
      <c r="I20" s="9"/>
      <c r="J20" s="9"/>
    </row>
  </sheetData>
  <phoneticPr fontId="0" type="noConversion"/>
  <pageMargins left="0.78740157499999996" right="0.78740157499999996" top="0.984251969" bottom="0.984251969" header="0.51181102300000003" footer="0.51181102300000003"/>
  <pageSetup paperSize="9" orientation="portrait" horizontalDpi="4294967292" verticalDpi="300" r:id="rId1"/>
  <headerFooter alignWithMargins="0">
    <oddHeader>&amp;C&amp;F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B2" sqref="B2"/>
    </sheetView>
  </sheetViews>
  <sheetFormatPr baseColWidth="10" defaultRowHeight="12.75"/>
  <cols>
    <col min="1" max="1" width="25.28515625" customWidth="1"/>
    <col min="2" max="2" width="15.28515625" customWidth="1"/>
    <col min="3" max="3" width="3.85546875" customWidth="1"/>
  </cols>
  <sheetData>
    <row r="1" spans="1:6">
      <c r="A1" s="8" t="s">
        <v>237</v>
      </c>
      <c r="B1" s="9"/>
      <c r="C1" s="9"/>
      <c r="D1" s="9"/>
      <c r="E1" s="9"/>
      <c r="F1" s="9"/>
    </row>
    <row r="2" spans="1:6">
      <c r="A2" s="49" t="s">
        <v>65</v>
      </c>
      <c r="B2" s="17">
        <v>500</v>
      </c>
      <c r="C2" s="9"/>
      <c r="D2" s="9"/>
      <c r="E2" s="9"/>
      <c r="F2" s="9"/>
    </row>
    <row r="3" spans="1:6">
      <c r="A3" s="49" t="s">
        <v>269</v>
      </c>
      <c r="B3" s="20">
        <v>0.08</v>
      </c>
      <c r="C3" s="9"/>
      <c r="D3" s="9"/>
      <c r="E3" s="9"/>
      <c r="F3" s="9"/>
    </row>
    <row r="4" spans="1:6">
      <c r="A4" s="49" t="s">
        <v>66</v>
      </c>
      <c r="B4" s="66">
        <v>95</v>
      </c>
      <c r="C4" s="9"/>
      <c r="D4" s="31" t="s">
        <v>276</v>
      </c>
      <c r="E4" s="44">
        <f>B4/100*B2</f>
        <v>475</v>
      </c>
      <c r="F4" s="9"/>
    </row>
    <row r="5" spans="1:6">
      <c r="A5" s="49" t="s">
        <v>68</v>
      </c>
      <c r="B5" s="59">
        <v>36529</v>
      </c>
      <c r="C5" s="9"/>
      <c r="D5" s="9"/>
      <c r="E5" s="100"/>
      <c r="F5" s="100"/>
    </row>
    <row r="6" spans="1:6">
      <c r="A6" s="49" t="s">
        <v>69</v>
      </c>
      <c r="B6" s="59">
        <v>36566</v>
      </c>
      <c r="C6" s="9"/>
      <c r="D6" s="9"/>
      <c r="E6" s="101"/>
      <c r="F6" s="101"/>
    </row>
    <row r="7" spans="1:6">
      <c r="A7" s="49" t="s">
        <v>219</v>
      </c>
      <c r="B7" s="251">
        <v>1</v>
      </c>
      <c r="C7" s="9" t="s">
        <v>277</v>
      </c>
      <c r="D7" s="9"/>
      <c r="E7" s="9"/>
      <c r="F7" s="9"/>
    </row>
    <row r="8" spans="1:6">
      <c r="A8" s="49" t="s">
        <v>281</v>
      </c>
      <c r="B8" s="252">
        <v>1</v>
      </c>
      <c r="C8" s="80" t="s">
        <v>280</v>
      </c>
      <c r="D8" s="81"/>
      <c r="E8" s="9"/>
      <c r="F8" s="9"/>
    </row>
    <row r="9" spans="1:6">
      <c r="A9" s="9"/>
      <c r="B9" s="9"/>
      <c r="C9" s="9"/>
      <c r="D9" s="9"/>
      <c r="E9" s="9"/>
      <c r="F9" s="9"/>
    </row>
    <row r="10" spans="1:6">
      <c r="A10" s="49" t="s">
        <v>279</v>
      </c>
      <c r="B10" s="250">
        <f>DATE(YEAR(B5),MONTH(B5)+12/B7,DAY(B5))</f>
        <v>36895</v>
      </c>
      <c r="C10" s="9"/>
      <c r="D10" s="9"/>
      <c r="E10" s="9"/>
      <c r="F10" s="9"/>
    </row>
    <row r="11" spans="1:6">
      <c r="A11" s="49" t="s">
        <v>274</v>
      </c>
      <c r="B11" s="60">
        <f>B2*B3/B7</f>
        <v>40</v>
      </c>
      <c r="C11" s="44"/>
      <c r="D11" s="9"/>
      <c r="E11" s="9"/>
      <c r="F11" s="9"/>
    </row>
    <row r="12" spans="1:6">
      <c r="A12" s="15"/>
      <c r="B12" s="9"/>
      <c r="C12" s="9"/>
      <c r="D12" s="9"/>
      <c r="E12" s="9"/>
      <c r="F12" s="9"/>
    </row>
    <row r="13" spans="1:6">
      <c r="A13" s="9"/>
      <c r="B13" s="9"/>
      <c r="C13" s="9"/>
      <c r="D13" s="88" t="s">
        <v>275</v>
      </c>
      <c r="E13" s="47"/>
      <c r="F13" s="9"/>
    </row>
    <row r="14" spans="1:6">
      <c r="A14" s="8"/>
      <c r="B14" s="133" t="s">
        <v>270</v>
      </c>
      <c r="C14" s="133"/>
      <c r="D14" s="91" t="s">
        <v>271</v>
      </c>
      <c r="E14" s="245" t="s">
        <v>71</v>
      </c>
      <c r="F14" s="9"/>
    </row>
    <row r="15" spans="1:6">
      <c r="A15" s="9" t="s">
        <v>72</v>
      </c>
      <c r="B15" s="8">
        <f>B6-B5</f>
        <v>37</v>
      </c>
      <c r="C15" s="8"/>
      <c r="D15" s="122">
        <f>DAYS360(B5,B6)</f>
        <v>36</v>
      </c>
      <c r="E15" s="123">
        <f>B15</f>
        <v>37</v>
      </c>
      <c r="F15" s="9"/>
    </row>
    <row r="16" spans="1:6">
      <c r="A16" s="9" t="s">
        <v>73</v>
      </c>
      <c r="B16" s="132">
        <f>(B10-B5)*B7</f>
        <v>366</v>
      </c>
      <c r="C16" s="132"/>
      <c r="D16" s="122">
        <v>360</v>
      </c>
      <c r="E16" s="123">
        <v>360</v>
      </c>
      <c r="F16" s="9"/>
    </row>
    <row r="17" spans="1:6">
      <c r="A17" s="9"/>
      <c r="B17" s="109"/>
      <c r="C17" s="109"/>
      <c r="D17" s="122"/>
      <c r="E17" s="123"/>
      <c r="F17" s="9"/>
    </row>
    <row r="18" spans="1:6">
      <c r="A18" s="9" t="s">
        <v>74</v>
      </c>
      <c r="B18" s="58">
        <f>B2*B4/100</f>
        <v>475</v>
      </c>
      <c r="C18" s="58"/>
      <c r="D18" s="246">
        <f>B18</f>
        <v>475</v>
      </c>
      <c r="E18" s="247">
        <f>D18</f>
        <v>475</v>
      </c>
      <c r="F18" s="9"/>
    </row>
    <row r="19" spans="1:6">
      <c r="A19" s="9" t="s">
        <v>75</v>
      </c>
      <c r="B19" s="58">
        <f>B15/B16*$B$2*$B$3</f>
        <v>4.0437158469945356</v>
      </c>
      <c r="C19" s="58"/>
      <c r="D19" s="246">
        <f>D15/D16*$B$2*$B$3</f>
        <v>4</v>
      </c>
      <c r="E19" s="247">
        <f>E15/E16*$B$2*$B$3</f>
        <v>4.1111111111111107</v>
      </c>
      <c r="F19" s="9"/>
    </row>
    <row r="20" spans="1:6">
      <c r="A20" s="9"/>
      <c r="B20" s="8"/>
      <c r="C20" s="8"/>
      <c r="D20" s="122"/>
      <c r="E20" s="123"/>
      <c r="F20" s="9"/>
    </row>
    <row r="21" spans="1:6">
      <c r="A21" s="9" t="s">
        <v>278</v>
      </c>
      <c r="B21" s="58">
        <f>B18+B19</f>
        <v>479.04371584699453</v>
      </c>
      <c r="C21" s="58"/>
      <c r="D21" s="248">
        <f>D18+D19</f>
        <v>479</v>
      </c>
      <c r="E21" s="249">
        <f>E18+E19</f>
        <v>479.11111111111109</v>
      </c>
      <c r="F21" s="9"/>
    </row>
    <row r="22" spans="1:6">
      <c r="A22" s="9"/>
      <c r="B22" s="133"/>
      <c r="C22" s="133"/>
      <c r="D22" s="31"/>
      <c r="E22" s="31"/>
      <c r="F22" s="9"/>
    </row>
    <row r="23" spans="1:6">
      <c r="A23" s="9"/>
      <c r="B23" s="9"/>
      <c r="C23" s="9"/>
      <c r="D23" s="9"/>
      <c r="E23" s="9"/>
      <c r="F23" s="9"/>
    </row>
    <row r="24" spans="1:6">
      <c r="A24" s="9" t="s">
        <v>273</v>
      </c>
      <c r="B24" s="9"/>
      <c r="C24" s="9"/>
      <c r="D24" s="9"/>
      <c r="E24" s="9"/>
      <c r="F24" s="9"/>
    </row>
    <row r="25" spans="1:6">
      <c r="A25" s="243" t="s">
        <v>272</v>
      </c>
      <c r="B25" s="9"/>
      <c r="C25" s="9"/>
      <c r="D25" s="9"/>
      <c r="E25" s="9"/>
      <c r="F25" s="9"/>
    </row>
    <row r="26" spans="1:6">
      <c r="A26" s="9" t="s">
        <v>76</v>
      </c>
      <c r="B26" s="9"/>
      <c r="C26" s="9"/>
      <c r="D26" s="9"/>
      <c r="E26" s="9"/>
      <c r="F26" s="9"/>
    </row>
    <row r="27" spans="1:6">
      <c r="A27" s="9" t="s">
        <v>77</v>
      </c>
      <c r="B27" s="9"/>
      <c r="C27" s="9"/>
      <c r="D27" s="9"/>
      <c r="E27" s="9"/>
      <c r="F27" s="9"/>
    </row>
    <row r="28" spans="1:6">
      <c r="A28" s="9" t="s">
        <v>78</v>
      </c>
      <c r="B28" s="9"/>
      <c r="C28" s="9"/>
      <c r="D28" s="9"/>
      <c r="E28" s="9"/>
      <c r="F28" s="9"/>
    </row>
    <row r="29" spans="1:6">
      <c r="A29" s="9" t="s">
        <v>79</v>
      </c>
      <c r="B29" s="9"/>
      <c r="C29" s="9"/>
      <c r="D29" s="9"/>
      <c r="E29" s="9"/>
      <c r="F29" s="9"/>
    </row>
    <row r="30" spans="1:6">
      <c r="A30" s="9"/>
      <c r="B30" s="9"/>
      <c r="C30" s="9"/>
      <c r="D30" s="9"/>
      <c r="E30" s="9"/>
      <c r="F30" s="9"/>
    </row>
  </sheetData>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43</vt:i4>
      </vt:variant>
      <vt:variant>
        <vt:lpstr>Benannte Bereiche</vt:lpstr>
      </vt:variant>
      <vt:variant>
        <vt:i4>1</vt:i4>
      </vt:variant>
    </vt:vector>
  </HeadingPairs>
  <TitlesOfParts>
    <vt:vector size="44" baseType="lpstr">
      <vt:lpstr>Übersicht</vt:lpstr>
      <vt:lpstr>Beisp. 2.1.1 - 2.1.2</vt:lpstr>
      <vt:lpstr>Beisp. 2.1.3</vt:lpstr>
      <vt:lpstr>Beisp. 2.1.4</vt:lpstr>
      <vt:lpstr>Beisp. 2.1.5</vt:lpstr>
      <vt:lpstr>Beisp. 2.2.1 bis 2.2.3</vt:lpstr>
      <vt:lpstr>Bem. 4 nach Beisp. 2.2.3</vt:lpstr>
      <vt:lpstr>Beisp. 2.2.4 - 2.2.6</vt:lpstr>
      <vt:lpstr>Beisp. 2.2. 7</vt:lpstr>
      <vt:lpstr>Beisp. 2.2.7Fortsetzung</vt:lpstr>
      <vt:lpstr>Beisp. 2.2.8</vt:lpstr>
      <vt:lpstr>Beisp. 2.3.1 </vt:lpstr>
      <vt:lpstr>Beisp. 2.3.2</vt:lpstr>
      <vt:lpstr>Beisp. 2.3.3</vt:lpstr>
      <vt:lpstr>Beisp. 2.3.4</vt:lpstr>
      <vt:lpstr>Beisp. 2.3.5</vt:lpstr>
      <vt:lpstr>Beisp. 2.4.1 u. 2.4.3</vt:lpstr>
      <vt:lpstr>Beisp. 2.4.2 u.2.4.4</vt:lpstr>
      <vt:lpstr>Beisp. 2.5.1</vt:lpstr>
      <vt:lpstr>Beisp. 2.5.2</vt:lpstr>
      <vt:lpstr>Beisp. 2.5.3</vt:lpstr>
      <vt:lpstr>Beisp. 2.5.4</vt:lpstr>
      <vt:lpstr>Beisp. 2.6.1 u. 2.6.2</vt:lpstr>
      <vt:lpstr>Beisp. 2.6.3</vt:lpstr>
      <vt:lpstr>Beisp. 2.7.1</vt:lpstr>
      <vt:lpstr>Beisp. 2.7.2 - 2.7.3</vt:lpstr>
      <vt:lpstr>Beisp. 2.8.1 u. Abb. 2.8.2</vt:lpstr>
      <vt:lpstr>Beisp. 2.8.1 u. Abb. 2.8.2 (2)</vt:lpstr>
      <vt:lpstr>Abb. 2.8.3</vt:lpstr>
      <vt:lpstr>Beisp. 2.8.2</vt:lpstr>
      <vt:lpstr>Zinseszinseffekt</vt:lpstr>
      <vt:lpstr>Beisp. 2.8.3</vt:lpstr>
      <vt:lpstr>Beisp. 2.9.1 - 2.9.2</vt:lpstr>
      <vt:lpstr>Aufg. 2.2</vt:lpstr>
      <vt:lpstr>Aufg. 2.3 </vt:lpstr>
      <vt:lpstr>Aufg. 2.4</vt:lpstr>
      <vt:lpstr>Aufg. 2.5 und 2.6</vt:lpstr>
      <vt:lpstr>Aufg. 2.7</vt:lpstr>
      <vt:lpstr>Aufg. 2.8</vt:lpstr>
      <vt:lpstr>Aufg. 2.9</vt:lpstr>
      <vt:lpstr>Aufg. 2.10</vt:lpstr>
      <vt:lpstr>Aufg. 2.11</vt:lpstr>
      <vt:lpstr>Aufg. 2.12</vt:lpstr>
      <vt:lpstr>Grundwert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Praktische Finanzmathematik</dc:title>
  <dc:subject>Kapitel 2</dc:subject>
  <dc:creator>Pfeifer</dc:creator>
  <cp:lastModifiedBy>ap</cp:lastModifiedBy>
  <dcterms:created xsi:type="dcterms:W3CDTF">1999-09-08T17:49:10Z</dcterms:created>
  <dcterms:modified xsi:type="dcterms:W3CDTF">2021-12-06T06:43:07Z</dcterms:modified>
</cp:coreProperties>
</file>