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DieseArbeitsmappe"/>
  <bookViews>
    <workbookView xWindow="240" yWindow="15" windowWidth="6660" windowHeight="4755" tabRatio="596"/>
  </bookViews>
  <sheets>
    <sheet name="Übersicht" sheetId="65" r:id="rId1"/>
    <sheet name="Beisp. 3.1.1 u. 3.1.3" sheetId="1" r:id="rId2"/>
    <sheet name="Beisp. 3.1.2" sheetId="2" r:id="rId3"/>
    <sheet name="Beisp. 3.1.4" sheetId="5" r:id="rId4"/>
    <sheet name="Beisp. 3.1.5" sheetId="6" r:id="rId5"/>
    <sheet name="Beisp. 3.1.6" sheetId="7" r:id="rId6"/>
    <sheet name="Beisp. 3.1.7" sheetId="8" r:id="rId7"/>
    <sheet name="Beisp. 3.2.1" sheetId="9" r:id="rId8"/>
    <sheet name="Abb. 3.2.2" sheetId="4" r:id="rId9"/>
    <sheet name="Beisp. 3.2.2" sheetId="10" r:id="rId10"/>
    <sheet name="Beisp. 3.3.1" sheetId="11" r:id="rId11"/>
    <sheet name="Beisp. 3.3.2" sheetId="12" r:id="rId12"/>
    <sheet name="Beisp. 3.3.3a PAngV" sheetId="13" r:id="rId13"/>
    <sheet name="Beisp. 3.3.3b PAngV" sheetId="39" r:id="rId14"/>
    <sheet name="Beisp. 3.3.4 PAngV" sheetId="41" r:id="rId15"/>
    <sheet name="Beisp. 3.3.5" sheetId="14" r:id="rId16"/>
    <sheet name="Beisp. 3.4.1" sheetId="15" r:id="rId17"/>
    <sheet name="Abb. 3.4.2" sheetId="16" r:id="rId18"/>
    <sheet name="Beisp. 3.4.2" sheetId="17" r:id="rId19"/>
    <sheet name="Beisp. 3.5.1" sheetId="49" r:id="rId20"/>
    <sheet name="Abb 3..5.2" sheetId="48" r:id="rId21"/>
    <sheet name="Diskontierungsfaktoren" sheetId="43" r:id="rId22"/>
    <sheet name="Beisp. 3.5.2" sheetId="44" r:id="rId23"/>
    <sheet name="Beisp. 3.5.3" sheetId="23" r:id="rId24"/>
    <sheet name="Beisp. 3.5.4" sheetId="42" r:id="rId25"/>
    <sheet name="Beisp. 3.6.1" sheetId="24" r:id="rId26"/>
    <sheet name="Aufg. 3.2" sheetId="25" r:id="rId27"/>
    <sheet name="Aufg. 3.3" sheetId="26" r:id="rId28"/>
    <sheet name="Aufg. 3.4" sheetId="27" r:id="rId29"/>
    <sheet name="Aufg. 3.5a" sheetId="28" r:id="rId30"/>
    <sheet name="Aufg. 3.5b und c" sheetId="29" r:id="rId31"/>
    <sheet name="Aufg. 3.6" sheetId="30" r:id="rId32"/>
    <sheet name="Aufg. 3.7" sheetId="31" r:id="rId33"/>
    <sheet name="Aufg. 3.8" sheetId="32" r:id="rId34"/>
    <sheet name="Aufg. 3.9" sheetId="33" r:id="rId35"/>
    <sheet name="Aufg. 3.10" sheetId="34" r:id="rId36"/>
    <sheet name="Aufg. 3.11" sheetId="35" r:id="rId37"/>
    <sheet name="Aufg. 3.11 (Zusatz)" sheetId="45" r:id="rId38"/>
    <sheet name="Aufg. 3.12" sheetId="46" r:id="rId39"/>
  </sheets>
  <calcPr calcId="145621"/>
</workbook>
</file>

<file path=xl/calcChain.xml><?xml version="1.0" encoding="utf-8"?>
<calcChain xmlns="http://schemas.openxmlformats.org/spreadsheetml/2006/main">
  <c r="G6" i="29" l="1"/>
  <c r="A10" i="41" l="1"/>
  <c r="A11" i="41"/>
  <c r="E5" i="23" l="1"/>
  <c r="E6" i="23"/>
  <c r="E7" i="23"/>
  <c r="E9" i="23"/>
  <c r="E10" i="23"/>
  <c r="E11" i="23"/>
  <c r="E12" i="23"/>
  <c r="E13" i="23"/>
  <c r="E14" i="23"/>
  <c r="E22" i="49"/>
  <c r="B18" i="49" l="1"/>
  <c r="D17" i="49"/>
  <c r="E12" i="49"/>
  <c r="E11" i="49"/>
  <c r="E10" i="49"/>
  <c r="E9" i="49"/>
  <c r="E8" i="49"/>
  <c r="E7" i="49"/>
  <c r="E6" i="49"/>
  <c r="E5" i="49"/>
  <c r="C15" i="49" l="1"/>
  <c r="C18" i="49" s="1"/>
  <c r="B29" i="5" l="1"/>
  <c r="B30" i="5" s="1"/>
  <c r="B31" i="5" s="1"/>
  <c r="B32" i="5" s="1"/>
  <c r="B33" i="5" s="1"/>
  <c r="B34" i="5" s="1"/>
  <c r="B35" i="5" s="1"/>
  <c r="B36" i="5" s="1"/>
  <c r="B37" i="5" s="1"/>
  <c r="B22" i="4"/>
  <c r="B52" i="4"/>
  <c r="B53" i="4"/>
  <c r="B43" i="4"/>
  <c r="B44" i="4"/>
  <c r="B45" i="4"/>
  <c r="B46" i="4"/>
  <c r="B47" i="4"/>
  <c r="B48" i="4"/>
  <c r="B49" i="4"/>
  <c r="B50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2" i="4"/>
  <c r="B17" i="16"/>
  <c r="C17" i="16" s="1"/>
  <c r="B10" i="16"/>
  <c r="B9" i="16"/>
  <c r="E6" i="34"/>
  <c r="F6" i="34" s="1"/>
  <c r="E7" i="34"/>
  <c r="E8" i="34"/>
  <c r="F8" i="34" s="1"/>
  <c r="F7" i="34"/>
  <c r="B10" i="34"/>
  <c r="B6" i="34"/>
  <c r="B7" i="34" s="1"/>
  <c r="B8" i="34" s="1"/>
  <c r="F11" i="35"/>
  <c r="F12" i="35" s="1"/>
  <c r="F22" i="35"/>
  <c r="E11" i="35"/>
  <c r="E22" i="35" s="1"/>
  <c r="D11" i="35"/>
  <c r="C11" i="35"/>
  <c r="B11" i="35"/>
  <c r="B22" i="35" s="1"/>
  <c r="C7" i="35"/>
  <c r="D7" i="35"/>
  <c r="E7" i="35"/>
  <c r="F7" i="35"/>
  <c r="B7" i="35"/>
  <c r="F13" i="35"/>
  <c r="E18" i="35" s="1"/>
  <c r="E12" i="35"/>
  <c r="F15" i="35"/>
  <c r="E14" i="35"/>
  <c r="D12" i="45"/>
  <c r="D13" i="45" s="1"/>
  <c r="D24" i="45" s="1"/>
  <c r="B12" i="45"/>
  <c r="E12" i="45"/>
  <c r="E13" i="45"/>
  <c r="E24" i="45" s="1"/>
  <c r="F12" i="45"/>
  <c r="F13" i="45"/>
  <c r="F24" i="45"/>
  <c r="G12" i="45"/>
  <c r="G13" i="45" s="1"/>
  <c r="G24" i="45" s="1"/>
  <c r="H12" i="45"/>
  <c r="C12" i="45"/>
  <c r="C13" i="45"/>
  <c r="C24" i="45" s="1"/>
  <c r="D23" i="45"/>
  <c r="F23" i="45"/>
  <c r="H23" i="45"/>
  <c r="B23" i="45"/>
  <c r="G17" i="45"/>
  <c r="G16" i="45"/>
  <c r="F15" i="45"/>
  <c r="G15" i="45"/>
  <c r="F14" i="45"/>
  <c r="D14" i="45"/>
  <c r="C7" i="45"/>
  <c r="D7" i="45"/>
  <c r="E7" i="45"/>
  <c r="F7" i="45"/>
  <c r="G7" i="45"/>
  <c r="H7" i="45"/>
  <c r="B7" i="45"/>
  <c r="F26" i="45"/>
  <c r="E9" i="25"/>
  <c r="E11" i="25" s="1"/>
  <c r="E6" i="25"/>
  <c r="B11" i="26"/>
  <c r="D11" i="26" s="1"/>
  <c r="D14" i="26" s="1"/>
  <c r="G10" i="26"/>
  <c r="D15" i="26"/>
  <c r="C6" i="26"/>
  <c r="B14" i="26"/>
  <c r="B15" i="26"/>
  <c r="B12" i="26"/>
  <c r="B19" i="26"/>
  <c r="C23" i="28"/>
  <c r="C22" i="28"/>
  <c r="B24" i="28"/>
  <c r="C24" i="28"/>
  <c r="B25" i="28" s="1"/>
  <c r="C25" i="28" s="1"/>
  <c r="E4" i="29"/>
  <c r="G5" i="29"/>
  <c r="H5" i="29" s="1"/>
  <c r="E5" i="29"/>
  <c r="E6" i="29"/>
  <c r="E7" i="29"/>
  <c r="E8" i="29"/>
  <c r="E9" i="29"/>
  <c r="E10" i="29"/>
  <c r="E11" i="29"/>
  <c r="E12" i="29"/>
  <c r="E13" i="29"/>
  <c r="H4" i="29"/>
  <c r="H6" i="29"/>
  <c r="H7" i="29"/>
  <c r="H9" i="29"/>
  <c r="H10" i="29"/>
  <c r="H11" i="29"/>
  <c r="H12" i="29"/>
  <c r="H13" i="29"/>
  <c r="H8" i="29"/>
  <c r="D27" i="29"/>
  <c r="D26" i="29"/>
  <c r="B28" i="29" s="1"/>
  <c r="D28" i="29" s="1"/>
  <c r="B29" i="29" s="1"/>
  <c r="D29" i="29" s="1"/>
  <c r="B9" i="30"/>
  <c r="B8" i="30" s="1"/>
  <c r="B21" i="30"/>
  <c r="B12" i="30"/>
  <c r="E12" i="32"/>
  <c r="B12" i="32"/>
  <c r="B18" i="33"/>
  <c r="C18" i="33"/>
  <c r="D17" i="1"/>
  <c r="E17" i="1"/>
  <c r="F17" i="1"/>
  <c r="F19" i="1" s="1"/>
  <c r="D19" i="1"/>
  <c r="E19" i="1"/>
  <c r="D24" i="1"/>
  <c r="D21" i="1"/>
  <c r="E24" i="1"/>
  <c r="E21" i="1" s="1"/>
  <c r="F24" i="1"/>
  <c r="F25" i="1" s="1"/>
  <c r="F21" i="1"/>
  <c r="D22" i="1"/>
  <c r="E22" i="1"/>
  <c r="F22" i="1"/>
  <c r="D25" i="1"/>
  <c r="E25" i="1"/>
  <c r="D26" i="1"/>
  <c r="E26" i="1"/>
  <c r="C24" i="1"/>
  <c r="C21" i="1"/>
  <c r="C17" i="1"/>
  <c r="B17" i="1"/>
  <c r="B22" i="1"/>
  <c r="B24" i="1"/>
  <c r="C26" i="1"/>
  <c r="C25" i="1"/>
  <c r="B19" i="1"/>
  <c r="B22" i="2"/>
  <c r="H6" i="2"/>
  <c r="H7" i="2"/>
  <c r="H8" i="2"/>
  <c r="H9" i="2"/>
  <c r="H10" i="2"/>
  <c r="H11" i="2"/>
  <c r="H12" i="2"/>
  <c r="H13" i="2"/>
  <c r="H14" i="2"/>
  <c r="H15" i="2"/>
  <c r="H16" i="2"/>
  <c r="H17" i="2"/>
  <c r="H5" i="2"/>
  <c r="B17" i="5"/>
  <c r="B19" i="5" s="1"/>
  <c r="C17" i="5"/>
  <c r="C19" i="5" s="1"/>
  <c r="K5" i="5"/>
  <c r="L5" i="5"/>
  <c r="K4" i="5"/>
  <c r="L4" i="5" s="1"/>
  <c r="N4" i="5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D17" i="6"/>
  <c r="B17" i="6"/>
  <c r="B10" i="7"/>
  <c r="B13" i="7" s="1"/>
  <c r="B14" i="7"/>
  <c r="B18" i="7"/>
  <c r="D5" i="8"/>
  <c r="E4" i="8"/>
  <c r="C10" i="8"/>
  <c r="C13" i="8" s="1"/>
  <c r="D10" i="8"/>
  <c r="D12" i="8"/>
  <c r="D14" i="8" s="1"/>
  <c r="B10" i="8"/>
  <c r="E5" i="8"/>
  <c r="E3" i="8"/>
  <c r="B8" i="9"/>
  <c r="B9" i="9"/>
  <c r="E4" i="10"/>
  <c r="E3" i="10"/>
  <c r="F4" i="10"/>
  <c r="F3" i="10"/>
  <c r="B5" i="11"/>
  <c r="B9" i="11" s="1"/>
  <c r="B18" i="11"/>
  <c r="D5" i="12"/>
  <c r="E26" i="12" s="1"/>
  <c r="A5" i="12"/>
  <c r="C26" i="12" s="1"/>
  <c r="A5" i="13"/>
  <c r="C27" i="13" s="1"/>
  <c r="B13" i="39"/>
  <c r="B14" i="39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5" i="39" s="1"/>
  <c r="B36" i="39" s="1"/>
  <c r="B37" i="39" s="1"/>
  <c r="B38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B49" i="39" s="1"/>
  <c r="B50" i="39" s="1"/>
  <c r="B51" i="39" s="1"/>
  <c r="B52" i="39" s="1"/>
  <c r="B53" i="39" s="1"/>
  <c r="B54" i="39" s="1"/>
  <c r="B55" i="39" s="1"/>
  <c r="B56" i="39" s="1"/>
  <c r="B57" i="39" s="1"/>
  <c r="B58" i="39" s="1"/>
  <c r="B59" i="39" s="1"/>
  <c r="B60" i="39" s="1"/>
  <c r="B61" i="39" s="1"/>
  <c r="B62" i="39" s="1"/>
  <c r="B63" i="39" s="1"/>
  <c r="B64" i="39" s="1"/>
  <c r="B65" i="39" s="1"/>
  <c r="B66" i="39" s="1"/>
  <c r="B67" i="39" s="1"/>
  <c r="B68" i="39" s="1"/>
  <c r="B69" i="39" s="1"/>
  <c r="B70" i="39" s="1"/>
  <c r="B71" i="39" s="1"/>
  <c r="A9" i="41"/>
  <c r="A8" i="41"/>
  <c r="A7" i="41"/>
  <c r="A6" i="41"/>
  <c r="A5" i="41"/>
  <c r="C28" i="41" s="1"/>
  <c r="C5" i="14"/>
  <c r="C9" i="14" s="1"/>
  <c r="C10" i="14" s="1"/>
  <c r="C6" i="14"/>
  <c r="C9" i="15"/>
  <c r="C11" i="15" s="1"/>
  <c r="B9" i="15"/>
  <c r="B11" i="15"/>
  <c r="C10" i="15"/>
  <c r="B10" i="15"/>
  <c r="B36" i="17"/>
  <c r="B37" i="17"/>
  <c r="C37" i="17" s="1"/>
  <c r="B38" i="17"/>
  <c r="B39" i="17"/>
  <c r="B40" i="17" s="1"/>
  <c r="B41" i="17" s="1"/>
  <c r="C41" i="17" s="1"/>
  <c r="C38" i="17"/>
  <c r="C39" i="17"/>
  <c r="B29" i="17"/>
  <c r="C36" i="17"/>
  <c r="C35" i="17"/>
  <c r="B28" i="17"/>
  <c r="F11" i="44"/>
  <c r="F12" i="44"/>
  <c r="F7" i="44"/>
  <c r="F8" i="44"/>
  <c r="F9" i="44"/>
  <c r="F10" i="44"/>
  <c r="F13" i="44"/>
  <c r="F14" i="44"/>
  <c r="F15" i="44"/>
  <c r="F16" i="44"/>
  <c r="F17" i="44"/>
  <c r="C7" i="44"/>
  <c r="C8" i="44"/>
  <c r="C9" i="44"/>
  <c r="C10" i="44"/>
  <c r="C11" i="44"/>
  <c r="C12" i="44"/>
  <c r="C13" i="44"/>
  <c r="C14" i="44"/>
  <c r="C15" i="44"/>
  <c r="C16" i="44"/>
  <c r="C17" i="44"/>
  <c r="D7" i="23"/>
  <c r="D5" i="23"/>
  <c r="D6" i="23"/>
  <c r="D9" i="23"/>
  <c r="F9" i="23"/>
  <c r="D10" i="23"/>
  <c r="F10" i="23"/>
  <c r="D11" i="23"/>
  <c r="F11" i="23"/>
  <c r="D12" i="23"/>
  <c r="F12" i="23"/>
  <c r="D13" i="23"/>
  <c r="F13" i="23"/>
  <c r="D14" i="23"/>
  <c r="F14" i="23"/>
  <c r="F7" i="23"/>
  <c r="F8" i="23"/>
  <c r="F6" i="23"/>
  <c r="D8" i="23"/>
  <c r="E8" i="23" s="1"/>
  <c r="E7" i="42"/>
  <c r="E10" i="42" s="1"/>
  <c r="D12" i="42" s="1"/>
  <c r="B7" i="42"/>
  <c r="C10" i="42"/>
  <c r="B10" i="42"/>
  <c r="E6" i="42"/>
  <c r="B6" i="42"/>
  <c r="C12" i="24"/>
  <c r="C14" i="24"/>
  <c r="D11" i="24"/>
  <c r="D14" i="24" s="1"/>
  <c r="B12" i="24"/>
  <c r="C18" i="43"/>
  <c r="D18" i="43"/>
  <c r="E18" i="43"/>
  <c r="F18" i="43"/>
  <c r="G18" i="43"/>
  <c r="B3" i="43"/>
  <c r="B18" i="43" s="1"/>
  <c r="B17" i="43"/>
  <c r="C17" i="43"/>
  <c r="D17" i="43"/>
  <c r="E17" i="43"/>
  <c r="F17" i="43"/>
  <c r="G17" i="43"/>
  <c r="B16" i="43"/>
  <c r="C16" i="43"/>
  <c r="D16" i="43"/>
  <c r="E16" i="43"/>
  <c r="F16" i="43"/>
  <c r="G16" i="43"/>
  <c r="B15" i="43"/>
  <c r="C15" i="43"/>
  <c r="D15" i="43"/>
  <c r="E15" i="43"/>
  <c r="F15" i="43"/>
  <c r="G15" i="43"/>
  <c r="B14" i="43"/>
  <c r="C14" i="43"/>
  <c r="D14" i="43"/>
  <c r="E14" i="43"/>
  <c r="F14" i="43"/>
  <c r="G14" i="43"/>
  <c r="G6" i="43"/>
  <c r="G7" i="43"/>
  <c r="G8" i="43"/>
  <c r="G9" i="43"/>
  <c r="G10" i="43"/>
  <c r="G11" i="43"/>
  <c r="G12" i="43"/>
  <c r="G13" i="43"/>
  <c r="G19" i="43"/>
  <c r="G5" i="43"/>
  <c r="G4" i="43"/>
  <c r="D5" i="43"/>
  <c r="E5" i="43"/>
  <c r="F5" i="43"/>
  <c r="C5" i="43"/>
  <c r="B5" i="43"/>
  <c r="C4" i="43"/>
  <c r="D4" i="43"/>
  <c r="E4" i="43"/>
  <c r="F4" i="43"/>
  <c r="C6" i="43"/>
  <c r="D6" i="43"/>
  <c r="E6" i="43"/>
  <c r="F6" i="43"/>
  <c r="C7" i="43"/>
  <c r="D7" i="43"/>
  <c r="E7" i="43"/>
  <c r="F7" i="43"/>
  <c r="C8" i="43"/>
  <c r="D8" i="43"/>
  <c r="E8" i="43"/>
  <c r="F8" i="43"/>
  <c r="C9" i="43"/>
  <c r="D9" i="43"/>
  <c r="E9" i="43"/>
  <c r="F9" i="43"/>
  <c r="C10" i="43"/>
  <c r="D10" i="43"/>
  <c r="E10" i="43"/>
  <c r="F10" i="43"/>
  <c r="C11" i="43"/>
  <c r="D11" i="43"/>
  <c r="E11" i="43"/>
  <c r="F11" i="43"/>
  <c r="C12" i="43"/>
  <c r="D12" i="43"/>
  <c r="E12" i="43"/>
  <c r="F12" i="43"/>
  <c r="C13" i="43"/>
  <c r="D13" i="43"/>
  <c r="E13" i="43"/>
  <c r="F13" i="43"/>
  <c r="C19" i="43"/>
  <c r="D19" i="43"/>
  <c r="E19" i="43"/>
  <c r="F19" i="43"/>
  <c r="B6" i="43"/>
  <c r="B7" i="43"/>
  <c r="B8" i="43"/>
  <c r="B9" i="43"/>
  <c r="B10" i="43"/>
  <c r="B11" i="43"/>
  <c r="B12" i="43"/>
  <c r="B13" i="43"/>
  <c r="B19" i="43"/>
  <c r="B4" i="43"/>
  <c r="G27" i="29" l="1"/>
  <c r="K27" i="29"/>
  <c r="K26" i="29"/>
  <c r="B16" i="7"/>
  <c r="A15" i="7"/>
  <c r="B13" i="8"/>
  <c r="C14" i="8"/>
  <c r="B11" i="24"/>
  <c r="B14" i="24" s="1"/>
  <c r="F5" i="23"/>
  <c r="D16" i="23"/>
  <c r="C19" i="44"/>
  <c r="F19" i="44"/>
  <c r="C40" i="17"/>
  <c r="B42" i="17"/>
  <c r="C28" i="13"/>
  <c r="B12" i="8"/>
  <c r="C20" i="2"/>
  <c r="C19" i="1"/>
  <c r="C22" i="1"/>
  <c r="B8" i="11"/>
  <c r="B12" i="11"/>
  <c r="B20" i="2"/>
  <c r="B26" i="1"/>
  <c r="B21" i="1"/>
  <c r="B25" i="1"/>
  <c r="C27" i="41"/>
  <c r="B29" i="41" s="1"/>
  <c r="C29" i="41" s="1"/>
  <c r="B30" i="41" s="1"/>
  <c r="C30" i="41" s="1"/>
  <c r="E27" i="12"/>
  <c r="K6" i="5"/>
  <c r="L6" i="5" s="1"/>
  <c r="K7" i="5" s="1"/>
  <c r="L7" i="5" s="1"/>
  <c r="K8" i="5" s="1"/>
  <c r="L8" i="5" s="1"/>
  <c r="K9" i="5" s="1"/>
  <c r="L9" i="5" s="1"/>
  <c r="K10" i="5" s="1"/>
  <c r="L10" i="5" s="1"/>
  <c r="K11" i="5" s="1"/>
  <c r="L11" i="5" s="1"/>
  <c r="K12" i="5" s="1"/>
  <c r="L12" i="5" s="1"/>
  <c r="K13" i="5" s="1"/>
  <c r="L13" i="5" s="1"/>
  <c r="K14" i="5" s="1"/>
  <c r="L14" i="5" s="1"/>
  <c r="K15" i="5" s="1"/>
  <c r="L15" i="5" s="1"/>
  <c r="K16" i="5" s="1"/>
  <c r="L16" i="5" s="1"/>
  <c r="K17" i="5" s="1"/>
  <c r="L17" i="5" s="1"/>
  <c r="K18" i="5" s="1"/>
  <c r="L18" i="5" s="1"/>
  <c r="K19" i="5" s="1"/>
  <c r="L19" i="5" s="1"/>
  <c r="K20" i="5" s="1"/>
  <c r="L20" i="5" s="1"/>
  <c r="K21" i="5" s="1"/>
  <c r="A20" i="5"/>
  <c r="G26" i="29"/>
  <c r="F28" i="29" s="1"/>
  <c r="G28" i="29" s="1"/>
  <c r="E7" i="39"/>
  <c r="C27" i="12"/>
  <c r="E5" i="10"/>
  <c r="B11" i="7"/>
  <c r="C22" i="30"/>
  <c r="C21" i="30"/>
  <c r="B23" i="30" s="1"/>
  <c r="C23" i="30" s="1"/>
  <c r="B30" i="29"/>
  <c r="D30" i="29" s="1"/>
  <c r="F26" i="1"/>
  <c r="C22" i="35"/>
  <c r="C23" i="35" s="1"/>
  <c r="E13" i="35"/>
  <c r="C12" i="35"/>
  <c r="F23" i="35"/>
  <c r="F25" i="35"/>
  <c r="B26" i="28"/>
  <c r="C26" i="28" s="1"/>
  <c r="G14" i="45"/>
  <c r="C23" i="45"/>
  <c r="F25" i="45" s="1"/>
  <c r="F16" i="45"/>
  <c r="E15" i="45"/>
  <c r="D22" i="35"/>
  <c r="D13" i="35"/>
  <c r="D12" i="35"/>
  <c r="B18" i="26"/>
  <c r="A17" i="26"/>
  <c r="A20" i="26"/>
  <c r="E14" i="45"/>
  <c r="E23" i="45"/>
  <c r="H13" i="45"/>
  <c r="H24" i="45" s="1"/>
  <c r="H18" i="45"/>
  <c r="H16" i="45"/>
  <c r="H15" i="45"/>
  <c r="H17" i="45"/>
  <c r="H14" i="45"/>
  <c r="F14" i="35"/>
  <c r="E23" i="35"/>
  <c r="F26" i="35"/>
  <c r="B18" i="16"/>
  <c r="G23" i="45"/>
  <c r="J28" i="29" l="1"/>
  <c r="K28" i="29" s="1"/>
  <c r="J29" i="29"/>
  <c r="K29" i="29" s="1"/>
  <c r="J30" i="29" s="1"/>
  <c r="K30" i="29" s="1"/>
  <c r="L21" i="5"/>
  <c r="E21" i="5"/>
  <c r="C18" i="16"/>
  <c r="B19" i="16"/>
  <c r="B24" i="30"/>
  <c r="C24" i="30" s="1"/>
  <c r="D28" i="12"/>
  <c r="E28" i="12" s="1"/>
  <c r="C19" i="11"/>
  <c r="C18" i="11"/>
  <c r="B20" i="11" s="1"/>
  <c r="C20" i="11" s="1"/>
  <c r="B31" i="41"/>
  <c r="C31" i="41" s="1"/>
  <c r="B32" i="41" s="1"/>
  <c r="C32" i="41" s="1"/>
  <c r="D25" i="45"/>
  <c r="B43" i="17"/>
  <c r="C42" i="17"/>
  <c r="F29" i="29"/>
  <c r="G29" i="29" s="1"/>
  <c r="E26" i="45"/>
  <c r="E25" i="45"/>
  <c r="F27" i="45"/>
  <c r="B28" i="28"/>
  <c r="C28" i="28" s="1"/>
  <c r="B29" i="13"/>
  <c r="C29" i="13" s="1"/>
  <c r="F24" i="35"/>
  <c r="D24" i="35"/>
  <c r="E25" i="35"/>
  <c r="D23" i="35"/>
  <c r="E24" i="35"/>
  <c r="F5" i="10"/>
  <c r="E6" i="10" s="1"/>
  <c r="B27" i="28"/>
  <c r="C27" i="28" s="1"/>
  <c r="A21" i="2"/>
  <c r="B31" i="29"/>
  <c r="D31" i="29" s="1"/>
  <c r="B14" i="8"/>
  <c r="B28" i="12"/>
  <c r="C28" i="12" s="1"/>
  <c r="B29" i="12" s="1"/>
  <c r="C29" i="12" s="1"/>
  <c r="J31" i="29" l="1"/>
  <c r="K31" i="29" s="1"/>
  <c r="J32" i="29" s="1"/>
  <c r="K32" i="29" s="1"/>
  <c r="F6" i="10"/>
  <c r="E7" i="10" s="1"/>
  <c r="B21" i="11"/>
  <c r="C21" i="11" s="1"/>
  <c r="B20" i="16"/>
  <c r="C19" i="16"/>
  <c r="B32" i="29"/>
  <c r="D32" i="29" s="1"/>
  <c r="B44" i="17"/>
  <c r="C43" i="17"/>
  <c r="B33" i="41"/>
  <c r="C33" i="41" s="1"/>
  <c r="B30" i="12"/>
  <c r="C30" i="12" s="1"/>
  <c r="B29" i="28"/>
  <c r="C29" i="28" s="1"/>
  <c r="B31" i="13"/>
  <c r="C31" i="13" s="1"/>
  <c r="F30" i="29"/>
  <c r="G30" i="29" s="1"/>
  <c r="F31" i="29" s="1"/>
  <c r="G31" i="29" s="1"/>
  <c r="D29" i="12"/>
  <c r="E29" i="12" s="1"/>
  <c r="D30" i="12" s="1"/>
  <c r="E30" i="12" s="1"/>
  <c r="B30" i="13"/>
  <c r="C30" i="13" s="1"/>
  <c r="B25" i="30"/>
  <c r="C25" i="30" s="1"/>
  <c r="B26" i="30" s="1"/>
  <c r="C26" i="30" s="1"/>
  <c r="J33" i="29" l="1"/>
  <c r="K33" i="29" s="1"/>
  <c r="J34" i="29" s="1"/>
  <c r="K34" i="29" s="1"/>
  <c r="J35" i="29" s="1"/>
  <c r="F7" i="10"/>
  <c r="E8" i="10"/>
  <c r="B21" i="16"/>
  <c r="C20" i="16"/>
  <c r="B27" i="30"/>
  <c r="C27" i="30" s="1"/>
  <c r="B28" i="30" s="1"/>
  <c r="C28" i="30" s="1"/>
  <c r="B33" i="29"/>
  <c r="D33" i="29" s="1"/>
  <c r="D31" i="12"/>
  <c r="E31" i="12" s="1"/>
  <c r="B30" i="28"/>
  <c r="C30" i="28" s="1"/>
  <c r="B31" i="28" s="1"/>
  <c r="B33" i="13"/>
  <c r="C33" i="13" s="1"/>
  <c r="B32" i="13"/>
  <c r="C32" i="13" s="1"/>
  <c r="F32" i="29"/>
  <c r="G32" i="29" s="1"/>
  <c r="B45" i="17"/>
  <c r="C44" i="17"/>
  <c r="B34" i="41"/>
  <c r="C34" i="41" s="1"/>
  <c r="B35" i="41" s="1"/>
  <c r="C35" i="41" s="1"/>
  <c r="B31" i="12"/>
  <c r="C31" i="12" s="1"/>
  <c r="B22" i="11"/>
  <c r="C22" i="11" s="1"/>
  <c r="B23" i="11" s="1"/>
  <c r="C23" i="11" s="1"/>
  <c r="F19" i="29" l="1"/>
  <c r="K35" i="29"/>
  <c r="B16" i="28"/>
  <c r="C31" i="28"/>
  <c r="B30" i="30"/>
  <c r="C21" i="16"/>
  <c r="B22" i="16"/>
  <c r="F8" i="10"/>
  <c r="E9" i="10" s="1"/>
  <c r="B34" i="29"/>
  <c r="D34" i="29" s="1"/>
  <c r="B35" i="29" s="1"/>
  <c r="B24" i="11"/>
  <c r="C24" i="11" s="1"/>
  <c r="C45" i="17"/>
  <c r="B46" i="17"/>
  <c r="B36" i="41"/>
  <c r="B34" i="13"/>
  <c r="C34" i="13" s="1"/>
  <c r="B32" i="12"/>
  <c r="C32" i="12" s="1"/>
  <c r="B29" i="30"/>
  <c r="C29" i="30" s="1"/>
  <c r="F33" i="29"/>
  <c r="G33" i="29" s="1"/>
  <c r="D32" i="12"/>
  <c r="E32" i="12" s="1"/>
  <c r="B17" i="29" l="1"/>
  <c r="D35" i="29"/>
  <c r="F9" i="10"/>
  <c r="E10" i="10"/>
  <c r="B11" i="30"/>
  <c r="B13" i="30" s="1"/>
  <c r="C30" i="30"/>
  <c r="B25" i="11"/>
  <c r="C25" i="11" s="1"/>
  <c r="C36" i="41"/>
  <c r="E7" i="41"/>
  <c r="D33" i="12"/>
  <c r="E33" i="12" s="1"/>
  <c r="B33" i="12"/>
  <c r="C33" i="12" s="1"/>
  <c r="C46" i="17"/>
  <c r="B47" i="17"/>
  <c r="F34" i="29"/>
  <c r="G34" i="29" s="1"/>
  <c r="F35" i="29" s="1"/>
  <c r="G35" i="29" s="1"/>
  <c r="F17" i="29" s="1"/>
  <c r="C22" i="16"/>
  <c r="B23" i="16"/>
  <c r="B35" i="13"/>
  <c r="C35" i="13" s="1"/>
  <c r="B36" i="13" s="1"/>
  <c r="C36" i="13" l="1"/>
  <c r="E7" i="13"/>
  <c r="F10" i="10"/>
  <c r="E11" i="10" s="1"/>
  <c r="D34" i="12"/>
  <c r="E34" i="12" s="1"/>
  <c r="D35" i="12" s="1"/>
  <c r="B48" i="17"/>
  <c r="C47" i="17"/>
  <c r="B24" i="16"/>
  <c r="C23" i="16"/>
  <c r="B26" i="11"/>
  <c r="C26" i="11" s="1"/>
  <c r="B27" i="11" s="1"/>
  <c r="B34" i="12"/>
  <c r="C34" i="12" s="1"/>
  <c r="B35" i="12" s="1"/>
  <c r="E9" i="12" l="1"/>
  <c r="E35" i="12"/>
  <c r="F11" i="10"/>
  <c r="E12" i="10"/>
  <c r="B16" i="12"/>
  <c r="C35" i="12"/>
  <c r="B11" i="11"/>
  <c r="C27" i="11"/>
  <c r="B49" i="17"/>
  <c r="C48" i="17"/>
  <c r="B25" i="16"/>
  <c r="C24" i="16"/>
  <c r="F12" i="10" l="1"/>
  <c r="E13" i="10" s="1"/>
  <c r="C25" i="16"/>
  <c r="B26" i="16"/>
  <c r="C49" i="17"/>
  <c r="B50" i="17"/>
  <c r="F13" i="10" l="1"/>
  <c r="E14" i="10" s="1"/>
  <c r="C26" i="16"/>
  <c r="B27" i="16"/>
  <c r="B51" i="17"/>
  <c r="C50" i="17"/>
  <c r="F14" i="10" l="1"/>
  <c r="E15" i="10" s="1"/>
  <c r="B28" i="16"/>
  <c r="C27" i="16"/>
  <c r="B52" i="17"/>
  <c r="C51" i="17"/>
  <c r="F15" i="10" l="1"/>
  <c r="E16" i="10"/>
  <c r="B29" i="16"/>
  <c r="C28" i="16"/>
  <c r="B53" i="17"/>
  <c r="C52" i="17"/>
  <c r="C29" i="16" l="1"/>
  <c r="B30" i="16"/>
  <c r="F16" i="10"/>
  <c r="E17" i="10" s="1"/>
  <c r="F17" i="10" s="1"/>
  <c r="C53" i="17"/>
  <c r="B54" i="17"/>
  <c r="B55" i="17" l="1"/>
  <c r="C54" i="17"/>
  <c r="C30" i="16"/>
  <c r="B31" i="16"/>
  <c r="B32" i="16" l="1"/>
  <c r="C31" i="16"/>
  <c r="B56" i="17"/>
  <c r="C55" i="17"/>
  <c r="B57" i="17" l="1"/>
  <c r="C56" i="17"/>
  <c r="B33" i="16"/>
  <c r="C32" i="16"/>
  <c r="C33" i="16" l="1"/>
  <c r="B34" i="16"/>
  <c r="C57" i="17"/>
  <c r="B58" i="17"/>
  <c r="B59" i="17" l="1"/>
  <c r="C58" i="17"/>
  <c r="C34" i="16"/>
  <c r="B35" i="16"/>
  <c r="B60" i="17" l="1"/>
  <c r="C59" i="17"/>
  <c r="B36" i="16"/>
  <c r="C35" i="16"/>
  <c r="B37" i="16" l="1"/>
  <c r="C36" i="16"/>
  <c r="B61" i="17"/>
  <c r="C60" i="17"/>
  <c r="C61" i="17" l="1"/>
  <c r="B62" i="17"/>
  <c r="C37" i="16"/>
  <c r="B38" i="16"/>
  <c r="C38" i="16" l="1"/>
  <c r="B39" i="16"/>
  <c r="C62" i="17"/>
  <c r="B63" i="17"/>
  <c r="B64" i="17" l="1"/>
  <c r="C63" i="17"/>
  <c r="B40" i="16"/>
  <c r="C39" i="16"/>
  <c r="B41" i="16" l="1"/>
  <c r="C40" i="16"/>
  <c r="B65" i="17"/>
  <c r="C64" i="17"/>
  <c r="C65" i="17" l="1"/>
  <c r="B66" i="17"/>
  <c r="C41" i="16"/>
  <c r="B42" i="16"/>
  <c r="C42" i="16" l="1"/>
  <c r="B43" i="16"/>
  <c r="B67" i="17"/>
  <c r="C66" i="17"/>
  <c r="B68" i="17" l="1"/>
  <c r="C67" i="17"/>
  <c r="B44" i="16"/>
  <c r="C43" i="16"/>
  <c r="B45" i="16" l="1"/>
  <c r="C44" i="16"/>
  <c r="B69" i="17"/>
  <c r="C68" i="17"/>
  <c r="C69" i="17" l="1"/>
  <c r="B70" i="17"/>
  <c r="C45" i="16"/>
  <c r="B46" i="16"/>
  <c r="C46" i="16" l="1"/>
  <c r="B47" i="16"/>
  <c r="B71" i="17"/>
  <c r="C70" i="17"/>
  <c r="B72" i="17" l="1"/>
  <c r="C71" i="17"/>
  <c r="B48" i="16"/>
  <c r="C47" i="16"/>
  <c r="B49" i="16" l="1"/>
  <c r="C48" i="16"/>
  <c r="B73" i="17"/>
  <c r="C72" i="17"/>
  <c r="C73" i="17" l="1"/>
  <c r="B74" i="17"/>
  <c r="C49" i="16"/>
  <c r="B50" i="16"/>
  <c r="C50" i="16" l="1"/>
  <c r="B51" i="16"/>
  <c r="B75" i="17"/>
  <c r="C74" i="17"/>
  <c r="B76" i="17" l="1"/>
  <c r="C75" i="17"/>
  <c r="B52" i="16"/>
  <c r="C51" i="16"/>
  <c r="B53" i="16" l="1"/>
  <c r="C52" i="16"/>
  <c r="B77" i="17"/>
  <c r="C76" i="17"/>
  <c r="C77" i="17" l="1"/>
  <c r="B78" i="17"/>
  <c r="C53" i="16"/>
  <c r="B54" i="16"/>
  <c r="C78" i="17" l="1"/>
  <c r="B79" i="17"/>
  <c r="C54" i="16"/>
  <c r="B55" i="16"/>
  <c r="B56" i="16" l="1"/>
  <c r="C55" i="16"/>
  <c r="B80" i="17"/>
  <c r="C79" i="17"/>
  <c r="B81" i="17" l="1"/>
  <c r="C80" i="17"/>
  <c r="B57" i="16"/>
  <c r="C56" i="16"/>
  <c r="C57" i="16" l="1"/>
  <c r="B58" i="16"/>
  <c r="C81" i="17"/>
  <c r="B82" i="17"/>
  <c r="C82" i="17" l="1"/>
  <c r="B83" i="17"/>
  <c r="C58" i="16"/>
  <c r="B59" i="16"/>
  <c r="B60" i="16" l="1"/>
  <c r="C59" i="16"/>
  <c r="B84" i="17"/>
  <c r="C83" i="17"/>
  <c r="B85" i="17" l="1"/>
  <c r="C84" i="17"/>
  <c r="B61" i="16"/>
  <c r="C60" i="16"/>
  <c r="C61" i="16" l="1"/>
  <c r="B62" i="16"/>
  <c r="C85" i="17"/>
  <c r="B86" i="17"/>
  <c r="B87" i="17" l="1"/>
  <c r="C86" i="17"/>
  <c r="C62" i="16"/>
  <c r="B63" i="16"/>
  <c r="B64" i="16" l="1"/>
  <c r="C63" i="16"/>
  <c r="B88" i="17"/>
  <c r="C87" i="17"/>
  <c r="B89" i="17" l="1"/>
  <c r="C88" i="17"/>
  <c r="B65" i="16"/>
  <c r="C64" i="16"/>
  <c r="C65" i="16" l="1"/>
  <c r="B66" i="16"/>
  <c r="B90" i="17"/>
  <c r="C89" i="17"/>
  <c r="B91" i="17" l="1"/>
  <c r="C90" i="17"/>
  <c r="C66" i="16"/>
  <c r="B67" i="16"/>
  <c r="B68" i="16" l="1"/>
  <c r="C67" i="16"/>
  <c r="B92" i="17"/>
  <c r="C91" i="17"/>
  <c r="B93" i="17" l="1"/>
  <c r="C92" i="17"/>
  <c r="B69" i="16"/>
  <c r="C68" i="16"/>
  <c r="B70" i="16" l="1"/>
  <c r="C69" i="16"/>
  <c r="C93" i="17"/>
  <c r="B94" i="17"/>
  <c r="C94" i="17" l="1"/>
  <c r="B95" i="17"/>
  <c r="B71" i="16"/>
  <c r="C70" i="16"/>
  <c r="B72" i="16" l="1"/>
  <c r="C71" i="16"/>
  <c r="B96" i="17"/>
  <c r="C95" i="17"/>
  <c r="B97" i="17" l="1"/>
  <c r="C96" i="17"/>
  <c r="B73" i="16"/>
  <c r="C72" i="16"/>
  <c r="B74" i="16" l="1"/>
  <c r="C73" i="16"/>
  <c r="B98" i="17"/>
  <c r="C97" i="17"/>
  <c r="C98" i="17" l="1"/>
  <c r="B99" i="17"/>
  <c r="B75" i="16"/>
  <c r="C74" i="16"/>
  <c r="B76" i="16" l="1"/>
  <c r="C75" i="16"/>
  <c r="B100" i="17"/>
  <c r="C99" i="17"/>
  <c r="B101" i="17" l="1"/>
  <c r="C100" i="17"/>
  <c r="B77" i="16"/>
  <c r="C76" i="16"/>
  <c r="B78" i="16" l="1"/>
  <c r="C77" i="16"/>
  <c r="C101" i="17"/>
  <c r="B102" i="17"/>
  <c r="B103" i="17" l="1"/>
  <c r="C102" i="17"/>
  <c r="B79" i="16"/>
  <c r="C78" i="16"/>
  <c r="B80" i="16" l="1"/>
  <c r="C79" i="16"/>
  <c r="B104" i="17"/>
  <c r="C103" i="17"/>
  <c r="B105" i="17" l="1"/>
  <c r="C104" i="17"/>
  <c r="B81" i="16"/>
  <c r="C80" i="16"/>
  <c r="B82" i="16" l="1"/>
  <c r="C81" i="16"/>
  <c r="B106" i="17"/>
  <c r="C105" i="17"/>
  <c r="B107" i="17" l="1"/>
  <c r="C106" i="17"/>
  <c r="B83" i="16"/>
  <c r="C82" i="16"/>
  <c r="B84" i="16" l="1"/>
  <c r="C83" i="16"/>
  <c r="B108" i="17"/>
  <c r="C107" i="17"/>
  <c r="B109" i="17" l="1"/>
  <c r="C108" i="17"/>
  <c r="B85" i="16"/>
  <c r="C84" i="16"/>
  <c r="B86" i="16" l="1"/>
  <c r="C85" i="16"/>
  <c r="C109" i="17"/>
  <c r="B110" i="17"/>
  <c r="C110" i="17" l="1"/>
  <c r="B111" i="17"/>
  <c r="B87" i="16"/>
  <c r="C86" i="16"/>
  <c r="B112" i="17" l="1"/>
  <c r="C111" i="17"/>
  <c r="B88" i="16"/>
  <c r="C87" i="16"/>
  <c r="B89" i="16" l="1"/>
  <c r="C88" i="16"/>
  <c r="B113" i="17"/>
  <c r="C112" i="17"/>
  <c r="B114" i="17" l="1"/>
  <c r="C113" i="17"/>
  <c r="B90" i="16"/>
  <c r="C89" i="16"/>
  <c r="C90" i="16" l="1"/>
  <c r="B91" i="16"/>
  <c r="C114" i="17"/>
  <c r="B115" i="17"/>
  <c r="B116" i="17" l="1"/>
  <c r="C115" i="17"/>
  <c r="B92" i="16"/>
  <c r="C91" i="16"/>
  <c r="B93" i="16" l="1"/>
  <c r="C92" i="16"/>
  <c r="B117" i="17"/>
  <c r="C116" i="17"/>
  <c r="C117" i="17" l="1"/>
  <c r="B118" i="17"/>
  <c r="B94" i="16"/>
  <c r="C93" i="16"/>
  <c r="C94" i="16" l="1"/>
  <c r="B95" i="16"/>
  <c r="C118" i="17"/>
  <c r="B119" i="17"/>
  <c r="B120" i="17" l="1"/>
  <c r="C119" i="17"/>
  <c r="B96" i="16"/>
  <c r="C95" i="16"/>
  <c r="B97" i="16" l="1"/>
  <c r="C96" i="16"/>
  <c r="B121" i="17"/>
  <c r="C120" i="17"/>
  <c r="B122" i="17" l="1"/>
  <c r="C121" i="17"/>
  <c r="B98" i="16"/>
  <c r="C97" i="16"/>
  <c r="C98" i="16" l="1"/>
  <c r="B99" i="16"/>
  <c r="C122" i="17"/>
  <c r="B123" i="17"/>
  <c r="B124" i="17" l="1"/>
  <c r="C123" i="17"/>
  <c r="B100" i="16"/>
  <c r="C99" i="16"/>
  <c r="B101" i="16" l="1"/>
  <c r="C100" i="16"/>
  <c r="B125" i="17"/>
  <c r="C124" i="17"/>
  <c r="C125" i="17" l="1"/>
  <c r="B126" i="17"/>
  <c r="B102" i="16"/>
  <c r="C101" i="16"/>
  <c r="C102" i="16" l="1"/>
  <c r="B103" i="16"/>
  <c r="C126" i="17"/>
  <c r="B127" i="17"/>
  <c r="C127" i="17" l="1"/>
  <c r="B128" i="17"/>
  <c r="B104" i="16"/>
  <c r="C103" i="16"/>
  <c r="C128" i="17" l="1"/>
  <c r="B129" i="17"/>
  <c r="B105" i="16"/>
  <c r="C104" i="16"/>
  <c r="B106" i="16" l="1"/>
  <c r="C105" i="16"/>
  <c r="B130" i="17"/>
  <c r="C129" i="17"/>
  <c r="C130" i="17" l="1"/>
  <c r="B131" i="17"/>
  <c r="B107" i="16"/>
  <c r="C106" i="16"/>
  <c r="C107" i="16" l="1"/>
  <c r="B108" i="16"/>
  <c r="C131" i="17"/>
  <c r="B132" i="17"/>
  <c r="C132" i="17" l="1"/>
  <c r="B133" i="17"/>
  <c r="B109" i="16"/>
  <c r="C108" i="16"/>
  <c r="C109" i="16" l="1"/>
  <c r="B110" i="16"/>
  <c r="B134" i="17"/>
  <c r="C133" i="17"/>
  <c r="B111" i="16" l="1"/>
  <c r="C110" i="16"/>
  <c r="C134" i="17"/>
  <c r="B135" i="17"/>
  <c r="C135" i="17" l="1"/>
  <c r="B136" i="17"/>
  <c r="C111" i="16"/>
  <c r="B112" i="16"/>
  <c r="B113" i="16" l="1"/>
  <c r="C112" i="16"/>
  <c r="C136" i="17"/>
  <c r="B137" i="17"/>
  <c r="C137" i="17" l="1"/>
  <c r="B138" i="17"/>
  <c r="C113" i="16"/>
  <c r="B114" i="16"/>
  <c r="B115" i="16" l="1"/>
  <c r="C114" i="16"/>
  <c r="C138" i="17"/>
  <c r="B139" i="17"/>
  <c r="C139" i="17" l="1"/>
  <c r="B140" i="17"/>
  <c r="C115" i="16"/>
  <c r="B116" i="16"/>
  <c r="B117" i="16" l="1"/>
  <c r="C116" i="16"/>
  <c r="C140" i="17"/>
  <c r="B141" i="17"/>
  <c r="B142" i="17" l="1"/>
  <c r="C141" i="17"/>
  <c r="C117" i="16"/>
  <c r="B118" i="16"/>
  <c r="B119" i="16" l="1"/>
  <c r="C118" i="16"/>
  <c r="C142" i="17"/>
  <c r="B143" i="17"/>
  <c r="C143" i="17" l="1"/>
  <c r="B144" i="17"/>
  <c r="C119" i="16"/>
  <c r="B120" i="16"/>
  <c r="B121" i="16" l="1"/>
  <c r="C120" i="16"/>
  <c r="C144" i="17"/>
  <c r="B145" i="17"/>
  <c r="C145" i="17" l="1"/>
  <c r="B146" i="17"/>
  <c r="C146" i="17" s="1"/>
  <c r="C121" i="16"/>
  <c r="B122" i="16"/>
  <c r="B123" i="16" l="1"/>
  <c r="C122" i="16"/>
  <c r="C123" i="16" l="1"/>
  <c r="B124" i="16"/>
  <c r="B125" i="16" l="1"/>
  <c r="C124" i="16"/>
  <c r="C125" i="16" l="1"/>
  <c r="B126" i="16"/>
  <c r="B127" i="16" l="1"/>
  <c r="C127" i="16" s="1"/>
  <c r="C126" i="16"/>
</calcChain>
</file>

<file path=xl/sharedStrings.xml><?xml version="1.0" encoding="utf-8"?>
<sst xmlns="http://schemas.openxmlformats.org/spreadsheetml/2006/main" count="468" uniqueCount="276">
  <si>
    <t>Barwert und Endwert (zukünftiger Wert) bei exponentieller Verzinsung:</t>
  </si>
  <si>
    <t>Zinssatz</t>
  </si>
  <si>
    <t>(gültig für alle Zahlungsströme)</t>
  </si>
  <si>
    <t>Zahlungsstrom 1</t>
  </si>
  <si>
    <t>sofort</t>
  </si>
  <si>
    <t>nach 1 Jahr</t>
  </si>
  <si>
    <t>nach 2 Jahren</t>
  </si>
  <si>
    <t>nach 3 Jahren</t>
  </si>
  <si>
    <t>nach 4 Jahren</t>
  </si>
  <si>
    <t>nach 5 Jahren</t>
  </si>
  <si>
    <t>nach 6 Jahren</t>
  </si>
  <si>
    <t>nach 7 Jahren</t>
  </si>
  <si>
    <t>nach 8 Jahren</t>
  </si>
  <si>
    <t>nach 9 Jahren</t>
  </si>
  <si>
    <t>nach 10 Jahren</t>
  </si>
  <si>
    <t>Ergebnisse</t>
  </si>
  <si>
    <t>PV</t>
  </si>
  <si>
    <t>Wert nach</t>
  </si>
  <si>
    <t>Jahren</t>
  </si>
  <si>
    <t>beträgt</t>
  </si>
  <si>
    <t>Barwert und Endwert (zukünftiger Wert) bei linearer Verzinsung</t>
  </si>
  <si>
    <t>Zahlung nach ... Monaten</t>
  </si>
  <si>
    <t>Zahlungsstrom1</t>
  </si>
  <si>
    <t>Zahlungsstrom 2</t>
  </si>
  <si>
    <t xml:space="preserve">Wert nach </t>
  </si>
  <si>
    <t>Monaten</t>
  </si>
  <si>
    <t>Äquivalenzprinzip</t>
  </si>
  <si>
    <t>Ergebnisse:</t>
  </si>
  <si>
    <t>Mittlerer Zahlungstermin</t>
  </si>
  <si>
    <t>Jahre</t>
  </si>
  <si>
    <t>Duration</t>
  </si>
  <si>
    <t>Zahlungen</t>
  </si>
  <si>
    <t>a) eine sofortige Zahlung</t>
  </si>
  <si>
    <t>b) eine einzige Zahlung nach 6 J.</t>
  </si>
  <si>
    <t>c) zwei gleich große Z. in 2 u. 4. J.</t>
  </si>
  <si>
    <t>Berechnung der Effektivverzinsung</t>
  </si>
  <si>
    <t>Startwerte</t>
  </si>
  <si>
    <t>i(k)</t>
  </si>
  <si>
    <t>f(ik)</t>
  </si>
  <si>
    <t>Die beiden Zahlungsströme sind äquivalent, wenn ieff =</t>
  </si>
  <si>
    <t>Renditeberechnungen bei exponentieller Verzinsung</t>
  </si>
  <si>
    <t>Zeitpunkt</t>
  </si>
  <si>
    <t>Zahlungsstrom A</t>
  </si>
  <si>
    <t>Zahlungsstrom B</t>
  </si>
  <si>
    <t>Rendite</t>
  </si>
  <si>
    <t>Skontobewertung</t>
  </si>
  <si>
    <t>Rechnungsbetrag</t>
  </si>
  <si>
    <t>Skonto</t>
  </si>
  <si>
    <t>Zahlungsfrist in Tagen</t>
  </si>
  <si>
    <t>Kreditzinsen</t>
  </si>
  <si>
    <t>Abrechnung nach Tagen</t>
  </si>
  <si>
    <t>Kontoabrechnung = Bezugszeitpunkt</t>
  </si>
  <si>
    <t>Ersparnis bei Skonto</t>
  </si>
  <si>
    <t>Kosten Kredit bei Skontozahlung</t>
  </si>
  <si>
    <t>Kontostand  bei Kontabrechnung</t>
  </si>
  <si>
    <t>mit Skonto</t>
  </si>
  <si>
    <t>ohne Skonto</t>
  </si>
  <si>
    <t>Bei Kreditzinsssatz unter</t>
  </si>
  <si>
    <t>lohnt die sofortige Zahlung mit Skontoabzug.</t>
  </si>
  <si>
    <t>Ergebnis</t>
  </si>
  <si>
    <t>heute</t>
  </si>
  <si>
    <t>in einem Jahr</t>
  </si>
  <si>
    <t>in zwei Jahren</t>
  </si>
  <si>
    <t>Anlagemöglichkeit A</t>
  </si>
  <si>
    <t>Anlagemöglichkeit B</t>
  </si>
  <si>
    <t>Anlagemöglichkeit C</t>
  </si>
  <si>
    <t xml:space="preserve">Anlagebetrag </t>
  </si>
  <si>
    <t>Summe B und C</t>
  </si>
  <si>
    <r>
      <t>Lösungen der quadratischen Gleichung ax</t>
    </r>
    <r>
      <rPr>
        <b/>
        <vertAlign val="superscript"/>
        <sz val="9"/>
        <rFont val="Arial"/>
        <family val="2"/>
      </rPr>
      <t>2</t>
    </r>
    <r>
      <rPr>
        <b/>
        <sz val="10"/>
        <rFont val="Arial"/>
        <family val="2"/>
      </rPr>
      <t>+bx +c = 0</t>
    </r>
  </si>
  <si>
    <t>a =</t>
  </si>
  <si>
    <t>b =</t>
  </si>
  <si>
    <t>c =</t>
  </si>
  <si>
    <t>Lösungen</t>
  </si>
  <si>
    <r>
      <t>x</t>
    </r>
    <r>
      <rPr>
        <vertAlign val="subscript"/>
        <sz val="9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</si>
  <si>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9"/>
        <rFont val="Arial"/>
        <family val="2"/>
      </rPr>
      <t>2</t>
    </r>
    <r>
      <rPr>
        <sz val="10"/>
        <rFont val="Arial"/>
        <family val="2"/>
      </rPr>
      <t xml:space="preserve"> =</t>
    </r>
  </si>
  <si>
    <t>Startwert 1</t>
  </si>
  <si>
    <t>k</t>
  </si>
  <si>
    <t>x(k)</t>
  </si>
  <si>
    <t>f(x(k))</t>
  </si>
  <si>
    <t>Startwert 2</t>
  </si>
  <si>
    <t>C</t>
  </si>
  <si>
    <t>Berechnung der Rendite bei einer Einmalzahlung</t>
  </si>
  <si>
    <t>Zahlung</t>
  </si>
  <si>
    <t>Rückzahlung</t>
  </si>
  <si>
    <t>Laufzeit in Jahren</t>
  </si>
  <si>
    <t>gebrochener Laufzeitanteil</t>
  </si>
  <si>
    <t>Anzahl "ganze" Jahre</t>
  </si>
  <si>
    <t>Rendite (Braess/Fangm.)</t>
  </si>
  <si>
    <t>Hilfsrechnungen:</t>
  </si>
  <si>
    <t>Iterationen</t>
  </si>
  <si>
    <t>Berechnung des Effektivzinssatzes</t>
  </si>
  <si>
    <t>Darlehenshöhe</t>
  </si>
  <si>
    <t>Zeit in Jahren bis Zahlung</t>
  </si>
  <si>
    <t>Höhe</t>
  </si>
  <si>
    <t>Ergebnis:</t>
  </si>
  <si>
    <t>exp.</t>
  </si>
  <si>
    <t>g(i(k))</t>
  </si>
  <si>
    <t>Braess/Fangmeyer</t>
  </si>
  <si>
    <t>effektiver Zinssatz:</t>
  </si>
  <si>
    <t>Zeit bitte als Bruch (=Jahresanteil)</t>
  </si>
  <si>
    <t>mit Gleichheitszeichen eingeben</t>
  </si>
  <si>
    <t>z.B. =1/12+5/365 für einen Monat und 5 Tage.</t>
  </si>
  <si>
    <t>monatliche Verzinsung</t>
  </si>
  <si>
    <t>Effektive Verzinsung  der Einmalanlage nach</t>
  </si>
  <si>
    <t>exp. Methode</t>
  </si>
  <si>
    <t>PAngV 1985</t>
  </si>
  <si>
    <t>Effektive Verzinsung der 12maligen Anlage</t>
  </si>
  <si>
    <t>Anschaffungskosten</t>
  </si>
  <si>
    <t>Laufzeit</t>
  </si>
  <si>
    <t>Restwert nach Laufzeit</t>
  </si>
  <si>
    <t>Kalkulationszins</t>
  </si>
  <si>
    <t>interner Zinssatz</t>
  </si>
  <si>
    <t>Ikv</t>
  </si>
  <si>
    <t>i</t>
  </si>
  <si>
    <t>NPV</t>
  </si>
  <si>
    <t>Nebenrechnungen für die Zeichnung:</t>
  </si>
  <si>
    <t>Hilfsgrößen</t>
  </si>
  <si>
    <t>faktor</t>
  </si>
  <si>
    <t>(exponentielle Verzinsung)</t>
  </si>
  <si>
    <t>einperiodischer</t>
  </si>
  <si>
    <t>Preis</t>
  </si>
  <si>
    <t>Spot rate</t>
  </si>
  <si>
    <t>Forward-Zinssatz</t>
  </si>
  <si>
    <t>Marktzinsmethode</t>
  </si>
  <si>
    <t>Zahlungsstrom</t>
  </si>
  <si>
    <t>Refinanzierungsmöglichkeiten:</t>
  </si>
  <si>
    <t>Laufzeit 2 Jahre, Zinssatz:</t>
  </si>
  <si>
    <t>Laufzeit 1 Jahr,   Zinssatz:</t>
  </si>
  <si>
    <t>1+2+3</t>
  </si>
  <si>
    <t>Aufgabe 3.2a</t>
  </si>
  <si>
    <t>Aufgabe 3.2b</t>
  </si>
  <si>
    <t>Aufgabe 3.2c</t>
  </si>
  <si>
    <t>Aufgabe 3.2.d</t>
  </si>
  <si>
    <t>Mittlerer Zahlungstermin (bei</t>
  </si>
  <si>
    <t>exp. Verzinsung):</t>
  </si>
  <si>
    <t>Zahlungsfolge ersetzt durch</t>
  </si>
  <si>
    <t>eine sofortige Zahlung</t>
  </si>
  <si>
    <t>zwei gleich große Z. in 1 u. 3. J.</t>
  </si>
  <si>
    <t>bei Überziehung</t>
  </si>
  <si>
    <t>Guthabenzinsen</t>
  </si>
  <si>
    <t>Ergebnisse bei Überziehung:</t>
  </si>
  <si>
    <t>Ergebnisse bei Guthabenzinsen:</t>
  </si>
  <si>
    <t>Kontostand bei Erhalt der Rechnung:</t>
  </si>
  <si>
    <t>Kosten Kredit bei Skontoz.</t>
  </si>
  <si>
    <t>Berechnung des Effektivzinssatzes (exponentielle Verzinsung)</t>
  </si>
  <si>
    <t>f(i(k))</t>
  </si>
  <si>
    <t>Datum</t>
  </si>
  <si>
    <t xml:space="preserve">Zeit in Jahren </t>
  </si>
  <si>
    <t>Zahlungs-höhe</t>
  </si>
  <si>
    <t>davon unterliegt  der Steuer</t>
  </si>
  <si>
    <t>Steuersatz</t>
  </si>
  <si>
    <t>Unterjährig: 30/360-Tage-Methode; Zahlungseingänge positiv</t>
  </si>
  <si>
    <t>Rendite (AIBD)</t>
  </si>
  <si>
    <t>Rendite (PAngV von 1985)</t>
  </si>
  <si>
    <t>Die Aufstellung der Gleichung in Excel ist sehr umständlich.</t>
  </si>
  <si>
    <t>Sie wird deshalb nicht durchgeführt.</t>
  </si>
  <si>
    <t>Barwertberechnung</t>
  </si>
  <si>
    <t>Zinssatz (Spotrate)</t>
  </si>
  <si>
    <t>Ergebnis:   PV</t>
  </si>
  <si>
    <t>A</t>
  </si>
  <si>
    <t>B</t>
  </si>
  <si>
    <t>Überschüsse</t>
  </si>
  <si>
    <t>Kapitalwert</t>
  </si>
  <si>
    <t>Rabatt</t>
  </si>
  <si>
    <t>Bedarf pro Jahr</t>
  </si>
  <si>
    <t>Stück</t>
  </si>
  <si>
    <t>Endwert der Kosten</t>
  </si>
  <si>
    <t>Jährlicher Kauf von</t>
  </si>
  <si>
    <t>Kauf alle 2 Jahre von</t>
  </si>
  <si>
    <t>Kauf alle 4 Jahre von</t>
  </si>
  <si>
    <t xml:space="preserve">K sind die Kosten von </t>
  </si>
  <si>
    <t>Stück.</t>
  </si>
  <si>
    <t>Spot-Rate</t>
  </si>
  <si>
    <t>Diskontierungs-</t>
  </si>
  <si>
    <t xml:space="preserve">           bis                von             </t>
  </si>
  <si>
    <t>Beispiel:</t>
  </si>
  <si>
    <t>Zinssatz für Anlagen nach 2 Jahren für 3 Jahre</t>
  </si>
  <si>
    <t>Iterationsverfahren</t>
  </si>
  <si>
    <t xml:space="preserve">Berechnung des Effektivzinssatzes PAngV </t>
  </si>
  <si>
    <t>PAngV</t>
  </si>
  <si>
    <t>Lineare Verzinsung</t>
  </si>
  <si>
    <t>t</t>
  </si>
  <si>
    <t>d(0,t)</t>
  </si>
  <si>
    <t>Exp. Verzinsung</t>
  </si>
  <si>
    <t>d(</t>
  </si>
  <si>
    <t xml:space="preserve">   │   0   ) =</t>
  </si>
  <si>
    <t>Forwardzinssatz bei exp. Verzinsung</t>
  </si>
  <si>
    <t>Implizite Forward-Zinssätze</t>
  </si>
  <si>
    <t>Spot Rate</t>
  </si>
  <si>
    <t>Lösung bei Blatt "Beisp. 2.3.5"  des Kapitels 2.</t>
  </si>
  <si>
    <t>Diskontierungsfaktoren in Abhängigkeit der Zeit</t>
  </si>
  <si>
    <t>Zinssatz exp. Verzinsung</t>
  </si>
  <si>
    <t>Barwert (unter einem Jahr einfache Verzinsung, ansonsten exp. Verzinsung)</t>
  </si>
  <si>
    <t>Beisp. 3.5.2</t>
  </si>
  <si>
    <t>eigenes Beisp.</t>
  </si>
  <si>
    <t>Diskontie-</t>
  </si>
  <si>
    <t>rungsfaktor</t>
  </si>
  <si>
    <t>Implizite Forward-Diskontierungsfaktoren d(i, j / 0)</t>
  </si>
  <si>
    <t xml:space="preserve">              bis j              von i             </t>
  </si>
  <si>
    <t>für alle Zahlungsströme</t>
  </si>
  <si>
    <t>Diskontierungs bzw. Aufzinsungsfaktor</t>
  </si>
  <si>
    <t>Beisp. 3.1.3</t>
  </si>
  <si>
    <t>Beisp. 3.1.1</t>
  </si>
  <si>
    <t>Aufg. 3.2c)</t>
  </si>
  <si>
    <t>Aufg.3.2a)</t>
  </si>
  <si>
    <t>Barwert (PV)</t>
  </si>
  <si>
    <t>Zahlungsstrom kann äquivalent ersetzt werden durch</t>
  </si>
  <si>
    <t>Monate.</t>
  </si>
  <si>
    <t>zum Zeitpunkt t =</t>
  </si>
  <si>
    <t>siehe Tabellenblatt "Beisp. 3.1.1 u. 3.1.3"</t>
  </si>
  <si>
    <t>kann mit Tabellenblatt "Beisp. 3.1.4" gelöst werden.</t>
  </si>
  <si>
    <t>Rendite (exponentielle Methode)</t>
  </si>
  <si>
    <t>Rendite Braess/Fangm.</t>
  </si>
  <si>
    <t>Rendite  exp. Methode</t>
  </si>
  <si>
    <t>Berechnung von Spot-Rates, Diskontierungsfaktoren und Forward-Zinssätze aus Zero-Bonds</t>
  </si>
  <si>
    <t>aus Spot-Rates</t>
  </si>
  <si>
    <t xml:space="preserve">Berechnung von Forword-Zinssätzen und Forward-Diskontierungsfaktoren </t>
  </si>
  <si>
    <t>Barwert und zukünftiger Wert</t>
  </si>
  <si>
    <t xml:space="preserve">PV = </t>
  </si>
  <si>
    <t>Wert zum Zeitpunkt t =</t>
  </si>
  <si>
    <t>Implizite Forward-Zinssätze (Zeitangaben in Monaten)</t>
  </si>
  <si>
    <t>Implizite Forward-Diskontierungsfaktoren d(j/12, k/12 / 0)</t>
  </si>
  <si>
    <t xml:space="preserve">              bis            von </t>
  </si>
  <si>
    <t>aus Spot-Rates  (bei Verwendung linearer Zinsen)</t>
  </si>
  <si>
    <t>Laufzeit in Monaten</t>
  </si>
  <si>
    <t>Gewinnannuität</t>
  </si>
  <si>
    <t>jährlicher Überschuss</t>
  </si>
  <si>
    <t>NPV (= Kapitalwert)</t>
  </si>
  <si>
    <t>Beispiel 3.4.1</t>
  </si>
  <si>
    <t>Investition</t>
  </si>
  <si>
    <t>anderes Beispiel</t>
  </si>
  <si>
    <t>Zeit in Jahren</t>
  </si>
  <si>
    <t>Barwert der Zahlung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</si>
  <si>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</si>
  <si>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</si>
  <si>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</si>
  <si>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</si>
  <si>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</si>
  <si>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</si>
  <si>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</si>
  <si>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</si>
  <si>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</si>
  <si>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Startwert x1</t>
  </si>
  <si>
    <t>Newton-Verfahren für Zahlenwerte aus Beispiel 3.1.4 vom Buch:</t>
  </si>
  <si>
    <t>Ergebnisse des Sekantenverfahrens</t>
  </si>
  <si>
    <t>Hilfsgrößen zur</t>
  </si>
  <si>
    <t>Kapitals abhängig.</t>
  </si>
  <si>
    <t>Die Rendite ist nicht von der Höhe des eingesetzten</t>
  </si>
  <si>
    <t>Für die Lösung von Aufg. 3.12 ist ein EXCEL ungeeignet.</t>
  </si>
  <si>
    <t>Hinweis:</t>
  </si>
  <si>
    <t>Die Zahlungen, also  8, 8 ... und 108,</t>
  </si>
  <si>
    <t>können nicht verändert werden.</t>
  </si>
  <si>
    <t xml:space="preserve">Dies kann mithilfe einer WENN-Abfrage </t>
  </si>
  <si>
    <t>verhindert werden.</t>
  </si>
  <si>
    <t>Wenn durch null geteilt wird, erscheint #DIV/0!</t>
  </si>
  <si>
    <t>Restlaufzeit</t>
  </si>
  <si>
    <t>Am unteren Rand sehen Sie die Arbeitsblätter, die in dieser Datei enthalten sind.</t>
  </si>
  <si>
    <t>Hinweise:</t>
  </si>
  <si>
    <t>Werte in den weißen Zellen der Arbeitsblätter können geändert werden.</t>
  </si>
  <si>
    <t>Berechnung des Effektivzinssatzes nach PAngV</t>
  </si>
  <si>
    <t>Alle Angaben ohne Gewähr</t>
  </si>
  <si>
    <t>Andreas Pfeifer</t>
  </si>
  <si>
    <t>Kapitel 3: Äquivalenz, Effektivzins und Kapitalwert</t>
  </si>
  <si>
    <t>Zinsbetrag nach</t>
  </si>
  <si>
    <t>Anlagebetrag</t>
  </si>
  <si>
    <t>Jahren:</t>
  </si>
  <si>
    <t>Weitere Berechnung:</t>
  </si>
  <si>
    <t>i1,3 I 0  =</t>
  </si>
  <si>
    <t>Alle weiteren Forward-Zinssätze können mit Excel-Blatt Aufg. 3.11 errechnet werden.</t>
  </si>
  <si>
    <t>Forward-Rate</t>
  </si>
  <si>
    <t>Diese Datei enthält Lösungen zu Beispielen und Übungsaufgaben aus</t>
  </si>
  <si>
    <t xml:space="preserve">"Finanzmathematik - Lehrbuch für Studium und Praxis"  </t>
  </si>
  <si>
    <t>In diesem Buch finden Sie auch weitere Informationen zur Benutzung dieser Excel-Datei.</t>
  </si>
  <si>
    <t>von Andreas Pfeifer. Es ist erschienen im Verlag Europa-Lehrmittel.</t>
  </si>
  <si>
    <t>Rendite ohne Berück-</t>
  </si>
  <si>
    <t>sichtigung von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</si>
</sst>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DM&quot;;[Red]\-#,##0.00\ &quot;DM&quot;"/>
    <numFmt numFmtId="165" formatCode="#,##0.00;[Red]\-#,##0.00"/>
    <numFmt numFmtId="166" formatCode="0.00000"/>
    <numFmt numFmtId="167" formatCode="0.000"/>
    <numFmt numFmtId="168" formatCode="0.0000%"/>
    <numFmt numFmtId="169" formatCode="0.000%"/>
    <numFmt numFmtId="170" formatCode="#,##0.00000;\-#,##0.00"/>
    <numFmt numFmtId="171" formatCode="0.000\ %"/>
    <numFmt numFmtId="172" formatCode="0.000000%"/>
    <numFmt numFmtId="173" formatCode="0.00\ %"/>
    <numFmt numFmtId="174" formatCode="#,##0.00&quot;.&quot;"/>
    <numFmt numFmtId="175" formatCode="#\ ???/???"/>
    <numFmt numFmtId="176" formatCode="0.0000000000"/>
    <numFmt numFmtId="177" formatCode="0.00000000"/>
    <numFmt numFmtId="178" formatCode="#,##0;[Red]\-#,##0"/>
    <numFmt numFmtId="179" formatCode="&quot;V(&quot;##&quot;) = &quot;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bscript"/>
      <sz val="9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Times New Roman"/>
      <family val="1"/>
    </font>
    <font>
      <sz val="9"/>
      <name val="Symbol"/>
      <family val="1"/>
      <charset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b/>
      <sz val="12"/>
      <name val="Helv"/>
    </font>
    <font>
      <b/>
      <sz val="18"/>
      <name val="Helv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299">
    <xf numFmtId="0" fontId="0" fillId="0" borderId="0" xfId="0"/>
    <xf numFmtId="9" fontId="0" fillId="0" borderId="0" xfId="0" applyNumberFormat="1"/>
    <xf numFmtId="4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0" fontId="4" fillId="0" borderId="0" xfId="5"/>
    <xf numFmtId="0" fontId="4" fillId="0" borderId="0" xfId="5" applyAlignment="1">
      <alignment horizontal="right"/>
    </xf>
    <xf numFmtId="0" fontId="2" fillId="0" borderId="0" xfId="7"/>
    <xf numFmtId="171" fontId="2" fillId="0" borderId="0" xfId="7" applyNumberFormat="1"/>
    <xf numFmtId="171" fontId="2" fillId="0" borderId="0" xfId="3" applyNumberFormat="1"/>
    <xf numFmtId="0" fontId="4" fillId="0" borderId="0" xfId="6"/>
    <xf numFmtId="0" fontId="4" fillId="0" borderId="1" xfId="6" applyBorder="1"/>
    <xf numFmtId="0" fontId="4" fillId="0" borderId="0" xfId="6" applyBorder="1"/>
    <xf numFmtId="171" fontId="4" fillId="0" borderId="1" xfId="6" applyNumberFormat="1" applyBorder="1"/>
    <xf numFmtId="170" fontId="4" fillId="0" borderId="1" xfId="6" applyNumberFormat="1" applyBorder="1"/>
    <xf numFmtId="0" fontId="4" fillId="0" borderId="0" xfId="6" applyFont="1"/>
    <xf numFmtId="0" fontId="4" fillId="0" borderId="0" xfId="4"/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right" wrapText="1"/>
    </xf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right"/>
    </xf>
    <xf numFmtId="165" fontId="0" fillId="2" borderId="0" xfId="0" applyNumberFormat="1" applyFill="1" applyBorder="1"/>
    <xf numFmtId="0" fontId="0" fillId="2" borderId="6" xfId="0" applyFill="1" applyBorder="1"/>
    <xf numFmtId="2" fontId="0" fillId="2" borderId="0" xfId="0" applyNumberForma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1" xfId="0" applyFill="1" applyBorder="1"/>
    <xf numFmtId="9" fontId="0" fillId="3" borderId="1" xfId="0" applyNumberFormat="1" applyFill="1" applyBorder="1"/>
    <xf numFmtId="0" fontId="0" fillId="3" borderId="1" xfId="0" applyNumberFormat="1" applyFill="1" applyBorder="1"/>
    <xf numFmtId="0" fontId="0" fillId="2" borderId="0" xfId="0" applyFill="1" applyBorder="1" applyAlignment="1">
      <alignment horizontal="right" wrapText="1"/>
    </xf>
    <xf numFmtId="0" fontId="0" fillId="2" borderId="10" xfId="0" applyFill="1" applyBorder="1"/>
    <xf numFmtId="0" fontId="0" fillId="2" borderId="11" xfId="0" applyFill="1" applyBorder="1"/>
    <xf numFmtId="0" fontId="1" fillId="2" borderId="0" xfId="0" applyFont="1" applyFill="1"/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2" borderId="0" xfId="0" applyNumberFormat="1" applyFill="1" applyBorder="1"/>
    <xf numFmtId="169" fontId="0" fillId="2" borderId="0" xfId="0" applyNumberFormat="1" applyFill="1"/>
    <xf numFmtId="0" fontId="0" fillId="2" borderId="0" xfId="0" applyFill="1" applyAlignment="1">
      <alignment horizontal="right"/>
    </xf>
    <xf numFmtId="4" fontId="0" fillId="2" borderId="0" xfId="0" applyNumberFormat="1" applyFill="1"/>
    <xf numFmtId="4" fontId="0" fillId="3" borderId="0" xfId="0" applyNumberFormat="1" applyFill="1" applyAlignment="1">
      <alignment horizontal="right"/>
    </xf>
    <xf numFmtId="0" fontId="0" fillId="3" borderId="0" xfId="0" applyFill="1"/>
    <xf numFmtId="4" fontId="0" fillId="3" borderId="0" xfId="0" applyNumberFormat="1" applyFill="1"/>
    <xf numFmtId="167" fontId="0" fillId="2" borderId="0" xfId="0" applyNumberFormat="1" applyFill="1"/>
    <xf numFmtId="165" fontId="0" fillId="2" borderId="0" xfId="0" applyNumberFormat="1" applyFill="1"/>
    <xf numFmtId="9" fontId="0" fillId="3" borderId="0" xfId="0" applyNumberFormat="1" applyFill="1"/>
    <xf numFmtId="3" fontId="0" fillId="3" borderId="0" xfId="0" applyNumberFormat="1" applyFill="1"/>
    <xf numFmtId="0" fontId="0" fillId="2" borderId="0" xfId="0" applyFill="1" applyAlignment="1">
      <alignment horizontal="left"/>
    </xf>
    <xf numFmtId="0" fontId="4" fillId="0" borderId="0" xfId="5" applyFont="1"/>
    <xf numFmtId="0" fontId="5" fillId="2" borderId="0" xfId="5" applyFont="1" applyFill="1"/>
    <xf numFmtId="0" fontId="4" fillId="2" borderId="0" xfId="5" applyFill="1"/>
    <xf numFmtId="166" fontId="4" fillId="2" borderId="0" xfId="5" applyNumberFormat="1" applyFill="1"/>
    <xf numFmtId="169" fontId="4" fillId="2" borderId="0" xfId="5" applyNumberFormat="1" applyFill="1"/>
    <xf numFmtId="0" fontId="4" fillId="2" borderId="0" xfId="5" applyFont="1" applyFill="1"/>
    <xf numFmtId="4" fontId="4" fillId="3" borderId="0" xfId="5" applyNumberFormat="1" applyFill="1"/>
    <xf numFmtId="0" fontId="4" fillId="3" borderId="0" xfId="5" applyFill="1"/>
    <xf numFmtId="169" fontId="0" fillId="2" borderId="0" xfId="3" applyNumberFormat="1" applyFont="1" applyFill="1"/>
    <xf numFmtId="169" fontId="0" fillId="3" borderId="0" xfId="0" applyNumberFormat="1" applyFill="1"/>
    <xf numFmtId="0" fontId="0" fillId="2" borderId="1" xfId="0" applyFill="1" applyBorder="1" applyAlignment="1">
      <alignment horizontal="right"/>
    </xf>
    <xf numFmtId="4" fontId="0" fillId="3" borderId="1" xfId="0" applyNumberFormat="1" applyFill="1" applyBorder="1"/>
    <xf numFmtId="169" fontId="0" fillId="2" borderId="1" xfId="0" applyNumberFormat="1" applyFill="1" applyBorder="1"/>
    <xf numFmtId="9" fontId="0" fillId="2" borderId="0" xfId="0" applyNumberFormat="1" applyFill="1" applyBorder="1"/>
    <xf numFmtId="164" fontId="1" fillId="2" borderId="0" xfId="0" applyNumberFormat="1" applyFont="1" applyFill="1" applyAlignment="1">
      <alignment horizontal="left"/>
    </xf>
    <xf numFmtId="4" fontId="0" fillId="2" borderId="1" xfId="0" applyNumberFormat="1" applyFill="1" applyBorder="1"/>
    <xf numFmtId="168" fontId="0" fillId="3" borderId="0" xfId="0" applyNumberFormat="1" applyFill="1"/>
    <xf numFmtId="0" fontId="5" fillId="2" borderId="0" xfId="4" applyFont="1" applyFill="1"/>
    <xf numFmtId="0" fontId="4" fillId="2" borderId="0" xfId="4" applyFill="1"/>
    <xf numFmtId="4" fontId="4" fillId="2" borderId="0" xfId="4" applyNumberFormat="1" applyFill="1"/>
    <xf numFmtId="9" fontId="4" fillId="2" borderId="0" xfId="4" applyNumberFormat="1" applyFill="1"/>
    <xf numFmtId="0" fontId="4" fillId="2" borderId="0" xfId="4" applyFont="1" applyFill="1"/>
    <xf numFmtId="174" fontId="4" fillId="2" borderId="0" xfId="4" applyNumberFormat="1" applyFill="1"/>
    <xf numFmtId="169" fontId="4" fillId="2" borderId="0" xfId="4" applyNumberFormat="1" applyFill="1"/>
    <xf numFmtId="4" fontId="4" fillId="3" borderId="0" xfId="4" applyNumberFormat="1" applyFill="1"/>
    <xf numFmtId="9" fontId="4" fillId="3" borderId="0" xfId="4" applyNumberFormat="1" applyFill="1"/>
    <xf numFmtId="0" fontId="4" fillId="3" borderId="0" xfId="4" applyFill="1"/>
    <xf numFmtId="0" fontId="4" fillId="3" borderId="0" xfId="4" applyNumberFormat="1" applyFill="1"/>
    <xf numFmtId="169" fontId="4" fillId="3" borderId="0" xfId="4" applyNumberFormat="1" applyFill="1"/>
    <xf numFmtId="2" fontId="4" fillId="2" borderId="0" xfId="4" applyNumberFormat="1" applyFill="1"/>
    <xf numFmtId="0" fontId="5" fillId="2" borderId="0" xfId="6" applyFont="1" applyFill="1"/>
    <xf numFmtId="0" fontId="4" fillId="2" borderId="0" xfId="6" applyFill="1"/>
    <xf numFmtId="0" fontId="4" fillId="2" borderId="1" xfId="6" applyFill="1" applyBorder="1"/>
    <xf numFmtId="0" fontId="4" fillId="2" borderId="1" xfId="6" applyFill="1" applyBorder="1" applyAlignment="1">
      <alignment horizontal="right" wrapText="1"/>
    </xf>
    <xf numFmtId="0" fontId="4" fillId="2" borderId="1" xfId="6" applyFill="1" applyBorder="1" applyAlignment="1">
      <alignment horizontal="right"/>
    </xf>
    <xf numFmtId="0" fontId="4" fillId="2" borderId="0" xfId="6" applyFill="1" applyBorder="1"/>
    <xf numFmtId="171" fontId="5" fillId="2" borderId="0" xfId="6" applyNumberFormat="1" applyFont="1" applyFill="1" applyBorder="1"/>
    <xf numFmtId="0" fontId="4" fillId="2" borderId="2" xfId="6" applyFill="1" applyBorder="1"/>
    <xf numFmtId="0" fontId="4" fillId="2" borderId="4" xfId="6" applyFill="1" applyBorder="1"/>
    <xf numFmtId="0" fontId="4" fillId="2" borderId="5" xfId="6" applyFill="1" applyBorder="1"/>
    <xf numFmtId="0" fontId="4" fillId="2" borderId="6" xfId="6" applyFill="1" applyBorder="1"/>
    <xf numFmtId="0" fontId="4" fillId="2" borderId="7" xfId="6" applyFill="1" applyBorder="1"/>
    <xf numFmtId="0" fontId="1" fillId="2" borderId="0" xfId="0" applyNumberFormat="1" applyFont="1" applyFill="1"/>
    <xf numFmtId="0" fontId="0" fillId="2" borderId="0" xfId="0" applyNumberFormat="1" applyFill="1"/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right"/>
    </xf>
    <xf numFmtId="0" fontId="0" fillId="2" borderId="0" xfId="0" applyNumberFormat="1" applyFill="1" applyAlignment="1">
      <alignment horizontal="right"/>
    </xf>
    <xf numFmtId="169" fontId="0" fillId="3" borderId="1" xfId="3" applyNumberFormat="1" applyFont="1" applyFill="1" applyBorder="1"/>
    <xf numFmtId="2" fontId="0" fillId="2" borderId="0" xfId="0" applyNumberFormat="1" applyFill="1"/>
    <xf numFmtId="10" fontId="0" fillId="2" borderId="0" xfId="0" applyNumberFormat="1" applyFill="1"/>
    <xf numFmtId="10" fontId="0" fillId="3" borderId="1" xfId="0" applyNumberFormat="1" applyFill="1" applyBorder="1"/>
    <xf numFmtId="4" fontId="0" fillId="2" borderId="8" xfId="0" applyNumberFormat="1" applyFill="1" applyBorder="1"/>
    <xf numFmtId="4" fontId="4" fillId="3" borderId="1" xfId="6" applyNumberFormat="1" applyFill="1" applyBorder="1"/>
    <xf numFmtId="0" fontId="4" fillId="3" borderId="1" xfId="6" applyFill="1" applyBorder="1"/>
    <xf numFmtId="0" fontId="0" fillId="2" borderId="10" xfId="0" applyFill="1" applyBorder="1" applyAlignment="1">
      <alignment horizontal="right"/>
    </xf>
    <xf numFmtId="169" fontId="0" fillId="3" borderId="1" xfId="0" applyNumberFormat="1" applyFill="1" applyBorder="1"/>
    <xf numFmtId="0" fontId="0" fillId="2" borderId="1" xfId="0" applyNumberFormat="1" applyFill="1" applyBorder="1" applyAlignment="1">
      <alignment horizontal="right" wrapText="1"/>
    </xf>
    <xf numFmtId="0" fontId="4" fillId="2" borderId="0" xfId="6" applyFont="1" applyFill="1"/>
    <xf numFmtId="175" fontId="4" fillId="3" borderId="1" xfId="6" applyNumberFormat="1" applyFill="1" applyBorder="1"/>
    <xf numFmtId="175" fontId="4" fillId="3" borderId="1" xfId="6" applyNumberFormat="1" applyFont="1" applyFill="1" applyBorder="1"/>
    <xf numFmtId="173" fontId="5" fillId="2" borderId="0" xfId="6" applyNumberFormat="1" applyFont="1" applyFill="1" applyBorder="1"/>
    <xf numFmtId="0" fontId="4" fillId="3" borderId="0" xfId="6" applyFont="1" applyFill="1"/>
    <xf numFmtId="0" fontId="4" fillId="3" borderId="0" xfId="6" applyFill="1"/>
    <xf numFmtId="0" fontId="4" fillId="2" borderId="0" xfId="6" applyFont="1" applyFill="1" applyBorder="1" applyAlignment="1">
      <alignment horizontal="right"/>
    </xf>
    <xf numFmtId="0" fontId="4" fillId="2" borderId="1" xfId="5" applyFill="1" applyBorder="1" applyAlignment="1">
      <alignment horizontal="center"/>
    </xf>
    <xf numFmtId="169" fontId="4" fillId="2" borderId="1" xfId="5" applyNumberFormat="1" applyFill="1" applyBorder="1"/>
    <xf numFmtId="0" fontId="4" fillId="2" borderId="1" xfId="5" applyFont="1" applyFill="1" applyBorder="1" applyAlignment="1">
      <alignment horizontal="center"/>
    </xf>
    <xf numFmtId="0" fontId="4" fillId="2" borderId="1" xfId="5" applyFill="1" applyBorder="1"/>
    <xf numFmtId="166" fontId="4" fillId="2" borderId="1" xfId="5" applyNumberFormat="1" applyFill="1" applyBorder="1"/>
    <xf numFmtId="0" fontId="4" fillId="2" borderId="1" xfId="5" applyFill="1" applyBorder="1" applyAlignment="1">
      <alignment horizontal="right"/>
    </xf>
    <xf numFmtId="4" fontId="4" fillId="3" borderId="1" xfId="5" applyNumberFormat="1" applyFill="1" applyBorder="1"/>
    <xf numFmtId="0" fontId="4" fillId="3" borderId="1" xfId="5" applyNumberFormat="1" applyFill="1" applyBorder="1"/>
    <xf numFmtId="0" fontId="0" fillId="2" borderId="0" xfId="0" applyFill="1" applyBorder="1" applyAlignment="1">
      <alignment horizontal="right"/>
    </xf>
    <xf numFmtId="174" fontId="5" fillId="2" borderId="0" xfId="4" applyNumberFormat="1" applyFont="1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0" xfId="0" applyFont="1" applyFill="1"/>
    <xf numFmtId="4" fontId="1" fillId="2" borderId="0" xfId="0" applyNumberFormat="1" applyFont="1" applyFill="1"/>
    <xf numFmtId="3" fontId="0" fillId="2" borderId="0" xfId="0" applyNumberFormat="1" applyFill="1"/>
    <xf numFmtId="9" fontId="0" fillId="3" borderId="0" xfId="0" applyNumberFormat="1" applyFill="1" applyAlignment="1">
      <alignment horizontal="center"/>
    </xf>
    <xf numFmtId="0" fontId="0" fillId="2" borderId="8" xfId="0" applyFill="1" applyBorder="1" applyAlignment="1">
      <alignment horizontal="center"/>
    </xf>
    <xf numFmtId="14" fontId="4" fillId="3" borderId="1" xfId="6" applyNumberFormat="1" applyFill="1" applyBorder="1"/>
    <xf numFmtId="0" fontId="4" fillId="2" borderId="5" xfId="6" applyFont="1" applyFill="1" applyBorder="1"/>
    <xf numFmtId="171" fontId="5" fillId="2" borderId="9" xfId="6" applyNumberFormat="1" applyFont="1" applyFill="1" applyBorder="1"/>
    <xf numFmtId="0" fontId="4" fillId="2" borderId="0" xfId="6" applyFill="1" applyBorder="1" applyAlignment="1">
      <alignment horizontal="right"/>
    </xf>
    <xf numFmtId="0" fontId="4" fillId="2" borderId="1" xfId="6" applyNumberFormat="1" applyFill="1" applyBorder="1"/>
    <xf numFmtId="9" fontId="4" fillId="3" borderId="6" xfId="6" applyNumberFormat="1" applyFill="1" applyBorder="1"/>
    <xf numFmtId="0" fontId="4" fillId="2" borderId="1" xfId="6" applyFont="1" applyFill="1" applyBorder="1" applyAlignment="1">
      <alignment horizontal="right" wrapText="1"/>
    </xf>
    <xf numFmtId="0" fontId="4" fillId="2" borderId="1" xfId="6" applyFont="1" applyFill="1" applyBorder="1" applyAlignment="1">
      <alignment horizontal="right"/>
    </xf>
    <xf numFmtId="0" fontId="4" fillId="2" borderId="10" xfId="6" applyFont="1" applyFill="1" applyBorder="1" applyAlignment="1">
      <alignment horizontal="right" wrapText="1"/>
    </xf>
    <xf numFmtId="0" fontId="4" fillId="2" borderId="3" xfId="6" applyFill="1" applyBorder="1"/>
    <xf numFmtId="171" fontId="5" fillId="2" borderId="6" xfId="6" applyNumberFormat="1" applyFont="1" applyFill="1" applyBorder="1"/>
    <xf numFmtId="0" fontId="4" fillId="2" borderId="7" xfId="6" applyFont="1" applyFill="1" applyBorder="1" applyAlignment="1">
      <alignment horizontal="right"/>
    </xf>
    <xf numFmtId="169" fontId="0" fillId="3" borderId="1" xfId="0" applyNumberFormat="1" applyFill="1" applyBorder="1" applyAlignment="1">
      <alignment horizontal="center"/>
    </xf>
    <xf numFmtId="169" fontId="2" fillId="3" borderId="1" xfId="3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169" fontId="0" fillId="2" borderId="1" xfId="3" applyNumberFormat="1" applyFont="1" applyFill="1" applyBorder="1"/>
    <xf numFmtId="0" fontId="0" fillId="2" borderId="11" xfId="0" applyFill="1" applyBorder="1" applyAlignment="1">
      <alignment horizontal="right"/>
    </xf>
    <xf numFmtId="166" fontId="0" fillId="2" borderId="1" xfId="0" applyNumberFormat="1" applyFill="1" applyBorder="1"/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4" fillId="0" borderId="4" xfId="6" applyFont="1" applyBorder="1"/>
    <xf numFmtId="9" fontId="4" fillId="0" borderId="1" xfId="6" applyNumberFormat="1" applyBorder="1"/>
    <xf numFmtId="0" fontId="4" fillId="0" borderId="1" xfId="6" applyFont="1" applyBorder="1"/>
    <xf numFmtId="0" fontId="4" fillId="0" borderId="12" xfId="6" applyFont="1" applyBorder="1"/>
    <xf numFmtId="0" fontId="4" fillId="0" borderId="13" xfId="6" applyBorder="1"/>
    <xf numFmtId="0" fontId="4" fillId="0" borderId="2" xfId="6" applyFont="1" applyBorder="1"/>
    <xf numFmtId="0" fontId="4" fillId="0" borderId="3" xfId="6" applyBorder="1"/>
    <xf numFmtId="0" fontId="4" fillId="0" borderId="7" xfId="6" applyBorder="1"/>
    <xf numFmtId="0" fontId="4" fillId="0" borderId="8" xfId="6" applyBorder="1"/>
    <xf numFmtId="0" fontId="4" fillId="0" borderId="9" xfId="6" applyBorder="1"/>
    <xf numFmtId="3" fontId="0" fillId="0" borderId="0" xfId="0" applyNumberFormat="1"/>
    <xf numFmtId="0" fontId="11" fillId="2" borderId="0" xfId="0" applyFont="1" applyFill="1"/>
    <xf numFmtId="175" fontId="4" fillId="2" borderId="1" xfId="6" applyNumberFormat="1" applyFill="1" applyBorder="1"/>
    <xf numFmtId="9" fontId="6" fillId="3" borderId="0" xfId="0" applyNumberFormat="1" applyFont="1" applyFill="1"/>
    <xf numFmtId="166" fontId="0" fillId="0" borderId="0" xfId="0" applyNumberFormat="1"/>
    <xf numFmtId="0" fontId="11" fillId="4" borderId="0" xfId="8" applyFont="1" applyFill="1"/>
    <xf numFmtId="0" fontId="2" fillId="4" borderId="0" xfId="8" applyFill="1"/>
    <xf numFmtId="0" fontId="2" fillId="0" borderId="0" xfId="8"/>
    <xf numFmtId="0" fontId="2" fillId="4" borderId="1" xfId="8" applyFill="1" applyBorder="1" applyAlignment="1">
      <alignment horizontal="center" wrapText="1"/>
    </xf>
    <xf numFmtId="9" fontId="2" fillId="3" borderId="1" xfId="3" applyFill="1" applyBorder="1"/>
    <xf numFmtId="0" fontId="2" fillId="3" borderId="1" xfId="8" applyFill="1" applyBorder="1" applyAlignment="1">
      <alignment horizontal="center"/>
    </xf>
    <xf numFmtId="0" fontId="2" fillId="4" borderId="1" xfId="8" applyFill="1" applyBorder="1"/>
    <xf numFmtId="0" fontId="11" fillId="2" borderId="0" xfId="8" applyFont="1" applyFill="1"/>
    <xf numFmtId="0" fontId="2" fillId="2" borderId="0" xfId="8" applyFill="1"/>
    <xf numFmtId="0" fontId="2" fillId="3" borderId="1" xfId="8" applyFont="1" applyFill="1" applyBorder="1" applyAlignment="1">
      <alignment horizontal="right"/>
    </xf>
    <xf numFmtId="0" fontId="2" fillId="2" borderId="3" xfId="8" applyFill="1" applyBorder="1"/>
    <xf numFmtId="0" fontId="2" fillId="2" borderId="1" xfId="8" applyFill="1" applyBorder="1"/>
    <xf numFmtId="169" fontId="2" fillId="3" borderId="1" xfId="8" applyNumberFormat="1" applyFill="1" applyBorder="1"/>
    <xf numFmtId="4" fontId="2" fillId="3" borderId="1" xfId="8" applyNumberFormat="1" applyFill="1" applyBorder="1"/>
    <xf numFmtId="4" fontId="2" fillId="2" borderId="1" xfId="8" applyNumberFormat="1" applyFill="1" applyBorder="1"/>
    <xf numFmtId="0" fontId="2" fillId="2" borderId="0" xfId="8" applyFill="1" applyBorder="1"/>
    <xf numFmtId="0" fontId="1" fillId="2" borderId="2" xfId="8" applyFont="1" applyFill="1" applyBorder="1"/>
    <xf numFmtId="0" fontId="1" fillId="2" borderId="0" xfId="8" applyFont="1" applyFill="1" applyBorder="1"/>
    <xf numFmtId="165" fontId="12" fillId="2" borderId="0" xfId="8" applyNumberFormat="1" applyFont="1" applyFill="1" applyBorder="1" applyAlignment="1">
      <alignment horizontal="right"/>
    </xf>
    <xf numFmtId="165" fontId="12" fillId="2" borderId="0" xfId="8" applyNumberFormat="1" applyFont="1" applyFill="1" applyBorder="1"/>
    <xf numFmtId="165" fontId="2" fillId="2" borderId="0" xfId="8" applyNumberFormat="1" applyFill="1" applyBorder="1"/>
    <xf numFmtId="0" fontId="2" fillId="2" borderId="0" xfId="8" applyFill="1" applyBorder="1" applyAlignment="1">
      <alignment horizontal="right"/>
    </xf>
    <xf numFmtId="166" fontId="9" fillId="2" borderId="1" xfId="0" applyNumberFormat="1" applyFont="1" applyFill="1" applyBorder="1"/>
    <xf numFmtId="0" fontId="12" fillId="2" borderId="0" xfId="0" applyFont="1" applyFill="1"/>
    <xf numFmtId="0" fontId="1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7" fontId="0" fillId="0" borderId="1" xfId="0" applyNumberFormat="1" applyBorder="1" applyAlignment="1">
      <alignment horizontal="center"/>
    </xf>
    <xf numFmtId="0" fontId="0" fillId="2" borderId="2" xfId="0" applyFill="1" applyBorder="1"/>
    <xf numFmtId="4" fontId="0" fillId="2" borderId="0" xfId="0" applyNumberFormat="1" applyFill="1" applyBorder="1"/>
    <xf numFmtId="8" fontId="0" fillId="0" borderId="0" xfId="0" applyNumberFormat="1"/>
    <xf numFmtId="165" fontId="12" fillId="2" borderId="0" xfId="0" applyNumberFormat="1" applyFont="1" applyFill="1" applyBorder="1"/>
    <xf numFmtId="0" fontId="12" fillId="3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4" fontId="12" fillId="2" borderId="0" xfId="0" applyNumberFormat="1" applyFont="1" applyFill="1" applyBorder="1"/>
    <xf numFmtId="4" fontId="12" fillId="2" borderId="8" xfId="0" applyNumberFormat="1" applyFont="1" applyFill="1" applyBorder="1"/>
    <xf numFmtId="0" fontId="0" fillId="3" borderId="10" xfId="0" applyNumberFormat="1" applyFill="1" applyBorder="1"/>
    <xf numFmtId="2" fontId="0" fillId="2" borderId="1" xfId="0" applyNumberFormat="1" applyFill="1" applyBorder="1"/>
    <xf numFmtId="169" fontId="5" fillId="2" borderId="1" xfId="5" applyNumberFormat="1" applyFont="1" applyFill="1" applyBorder="1"/>
    <xf numFmtId="171" fontId="5" fillId="2" borderId="1" xfId="6" applyNumberFormat="1" applyFont="1" applyFill="1" applyBorder="1"/>
    <xf numFmtId="0" fontId="4" fillId="2" borderId="1" xfId="6" applyFont="1" applyFill="1" applyBorder="1"/>
    <xf numFmtId="0" fontId="5" fillId="2" borderId="0" xfId="6" applyFont="1" applyFill="1" applyAlignment="1">
      <alignment horizontal="left"/>
    </xf>
    <xf numFmtId="0" fontId="0" fillId="2" borderId="12" xfId="0" applyFill="1" applyBorder="1"/>
    <xf numFmtId="178" fontId="0" fillId="3" borderId="4" xfId="0" applyNumberFormat="1" applyFill="1" applyBorder="1"/>
    <xf numFmtId="165" fontId="6" fillId="2" borderId="13" xfId="0" applyNumberFormat="1" applyFont="1" applyFill="1" applyBorder="1"/>
    <xf numFmtId="0" fontId="13" fillId="2" borderId="0" xfId="0" applyFont="1" applyFill="1"/>
    <xf numFmtId="4" fontId="0" fillId="2" borderId="9" xfId="0" applyNumberFormat="1" applyFill="1" applyBorder="1"/>
    <xf numFmtId="0" fontId="6" fillId="2" borderId="14" xfId="0" applyFont="1" applyFill="1" applyBorder="1" applyAlignment="1">
      <alignment horizontal="right"/>
    </xf>
    <xf numFmtId="179" fontId="0" fillId="2" borderId="8" xfId="0" applyNumberFormat="1" applyFill="1" applyBorder="1"/>
    <xf numFmtId="0" fontId="0" fillId="2" borderId="3" xfId="0" applyFill="1" applyBorder="1" applyAlignment="1">
      <alignment horizontal="right"/>
    </xf>
    <xf numFmtId="0" fontId="0" fillId="2" borderId="15" xfId="0" applyFill="1" applyBorder="1"/>
    <xf numFmtId="0" fontId="6" fillId="2" borderId="0" xfId="0" applyFont="1" applyFill="1"/>
    <xf numFmtId="169" fontId="2" fillId="2" borderId="1" xfId="3" applyNumberFormat="1" applyFill="1" applyBorder="1"/>
    <xf numFmtId="0" fontId="0" fillId="2" borderId="0" xfId="0" applyFill="1" applyBorder="1" applyAlignment="1">
      <alignment horizontal="center"/>
    </xf>
    <xf numFmtId="169" fontId="0" fillId="2" borderId="0" xfId="0" applyNumberFormat="1" applyFill="1" applyBorder="1"/>
    <xf numFmtId="169" fontId="2" fillId="2" borderId="0" xfId="3" applyNumberFormat="1" applyFill="1" applyBorder="1"/>
    <xf numFmtId="0" fontId="0" fillId="2" borderId="1" xfId="0" applyFill="1" applyBorder="1" applyAlignment="1">
      <alignment horizontal="center" wrapText="1"/>
    </xf>
    <xf numFmtId="0" fontId="0" fillId="2" borderId="0" xfId="0" applyFill="1" applyBorder="1" applyAlignment="1">
      <alignment horizontal="centerContinuous"/>
    </xf>
    <xf numFmtId="0" fontId="0" fillId="3" borderId="10" xfId="0" applyFill="1" applyBorder="1" applyAlignment="1">
      <alignment horizontal="right"/>
    </xf>
    <xf numFmtId="4" fontId="0" fillId="3" borderId="15" xfId="0" applyNumberFormat="1" applyFill="1" applyBorder="1"/>
    <xf numFmtId="0" fontId="0" fillId="3" borderId="15" xfId="0" applyFill="1" applyBorder="1"/>
    <xf numFmtId="168" fontId="0" fillId="3" borderId="15" xfId="0" applyNumberFormat="1" applyFill="1" applyBorder="1"/>
    <xf numFmtId="4" fontId="0" fillId="2" borderId="15" xfId="0" applyNumberFormat="1" applyFill="1" applyBorder="1"/>
    <xf numFmtId="169" fontId="0" fillId="2" borderId="15" xfId="0" applyNumberFormat="1" applyFill="1" applyBorder="1"/>
    <xf numFmtId="4" fontId="0" fillId="2" borderId="11" xfId="0" applyNumberFormat="1" applyFill="1" applyBorder="1"/>
    <xf numFmtId="0" fontId="0" fillId="2" borderId="15" xfId="0" applyFill="1" applyBorder="1" applyAlignment="1">
      <alignment horizontal="right"/>
    </xf>
    <xf numFmtId="0" fontId="12" fillId="2" borderId="15" xfId="0" applyFont="1" applyFill="1" applyBorder="1" applyAlignment="1">
      <alignment horizontal="left"/>
    </xf>
    <xf numFmtId="0" fontId="0" fillId="2" borderId="8" xfId="0" applyNumberFormat="1" applyFill="1" applyBorder="1"/>
    <xf numFmtId="0" fontId="0" fillId="2" borderId="6" xfId="0" applyFill="1" applyBorder="1" applyAlignment="1">
      <alignment horizontal="right"/>
    </xf>
    <xf numFmtId="172" fontId="0" fillId="2" borderId="0" xfId="0" applyNumberFormat="1" applyFill="1" applyBorder="1"/>
    <xf numFmtId="9" fontId="0" fillId="2" borderId="6" xfId="0" applyNumberFormat="1" applyFill="1" applyBorder="1"/>
    <xf numFmtId="172" fontId="0" fillId="2" borderId="6" xfId="3" applyNumberFormat="1" applyFont="1" applyFill="1" applyBorder="1"/>
    <xf numFmtId="172" fontId="0" fillId="2" borderId="8" xfId="0" applyNumberFormat="1" applyFill="1" applyBorder="1"/>
    <xf numFmtId="172" fontId="0" fillId="2" borderId="9" xfId="3" applyNumberFormat="1" applyFont="1" applyFill="1" applyBorder="1"/>
    <xf numFmtId="0" fontId="12" fillId="2" borderId="1" xfId="8" applyFont="1" applyFill="1" applyBorder="1" applyAlignment="1">
      <alignment horizontal="right"/>
    </xf>
    <xf numFmtId="0" fontId="2" fillId="2" borderId="1" xfId="8" applyFont="1" applyFill="1" applyBorder="1" applyAlignment="1">
      <alignment horizontal="right"/>
    </xf>
    <xf numFmtId="0" fontId="2" fillId="2" borderId="1" xfId="8" applyFill="1" applyBorder="1" applyAlignment="1">
      <alignment horizontal="center"/>
    </xf>
    <xf numFmtId="175" fontId="2" fillId="3" borderId="1" xfId="8" applyNumberFormat="1" applyFill="1" applyBorder="1" applyAlignment="1">
      <alignment horizontal="center"/>
    </xf>
    <xf numFmtId="175" fontId="2" fillId="3" borderId="1" xfId="8" applyNumberFormat="1" applyFill="1" applyBorder="1"/>
    <xf numFmtId="0" fontId="2" fillId="2" borderId="1" xfId="8" applyFont="1" applyFill="1" applyBorder="1" applyAlignment="1">
      <alignment horizontal="right" wrapText="1"/>
    </xf>
    <xf numFmtId="169" fontId="0" fillId="3" borderId="0" xfId="0" applyNumberFormat="1" applyFill="1" applyBorder="1"/>
    <xf numFmtId="176" fontId="0" fillId="2" borderId="1" xfId="0" applyNumberFormat="1" applyFill="1" applyBorder="1"/>
    <xf numFmtId="0" fontId="2" fillId="0" borderId="0" xfId="9"/>
    <xf numFmtId="0" fontId="16" fillId="0" borderId="0" xfId="9" applyFont="1" applyAlignment="1">
      <alignment horizontal="right" vertical="center" wrapText="1"/>
    </xf>
    <xf numFmtId="0" fontId="17" fillId="0" borderId="19" xfId="9" applyFont="1" applyBorder="1" applyAlignment="1">
      <alignment horizontal="center" vertical="center" wrapText="1"/>
    </xf>
    <xf numFmtId="0" fontId="17" fillId="0" borderId="18" xfId="9" applyFont="1" applyBorder="1" applyAlignment="1">
      <alignment horizontal="center" vertical="center" wrapText="1"/>
    </xf>
    <xf numFmtId="14" fontId="17" fillId="0" borderId="19" xfId="9" applyNumberFormat="1" applyFont="1" applyBorder="1" applyAlignment="1">
      <alignment horizontal="center" vertical="center" wrapText="1"/>
    </xf>
    <xf numFmtId="0" fontId="17" fillId="0" borderId="20" xfId="9" applyFont="1" applyBorder="1" applyAlignment="1">
      <alignment horizontal="center" vertical="center" wrapText="1"/>
    </xf>
    <xf numFmtId="0" fontId="14" fillId="0" borderId="20" xfId="9" applyFont="1" applyBorder="1" applyAlignment="1">
      <alignment horizontal="center" vertical="center" wrapText="1"/>
    </xf>
    <xf numFmtId="0" fontId="15" fillId="0" borderId="20" xfId="9" applyFont="1" applyBorder="1" applyAlignment="1">
      <alignment horizontal="center" vertical="center" wrapText="1"/>
    </xf>
    <xf numFmtId="0" fontId="17" fillId="0" borderId="21" xfId="9" applyFont="1" applyBorder="1" applyAlignment="1">
      <alignment horizontal="center" vertical="center" wrapText="1"/>
    </xf>
    <xf numFmtId="10" fontId="2" fillId="3" borderId="1" xfId="0" applyNumberFormat="1" applyFont="1" applyFill="1" applyBorder="1"/>
    <xf numFmtId="0" fontId="4" fillId="0" borderId="0" xfId="10"/>
    <xf numFmtId="0" fontId="2" fillId="2" borderId="0" xfId="0" applyFont="1" applyFill="1"/>
    <xf numFmtId="0" fontId="0" fillId="5" borderId="0" xfId="0" applyFill="1"/>
    <xf numFmtId="0" fontId="2" fillId="2" borderId="0" xfId="0" applyFont="1" applyFill="1" applyAlignment="1">
      <alignment horizontal="right"/>
    </xf>
    <xf numFmtId="2" fontId="1" fillId="2" borderId="0" xfId="0" applyNumberFormat="1" applyFont="1" applyFill="1"/>
    <xf numFmtId="4" fontId="0" fillId="5" borderId="0" xfId="0" applyNumberFormat="1" applyFill="1"/>
    <xf numFmtId="0" fontId="4" fillId="2" borderId="5" xfId="6" applyFill="1" applyBorder="1" applyAlignment="1">
      <alignment horizontal="right"/>
    </xf>
    <xf numFmtId="0" fontId="4" fillId="2" borderId="12" xfId="6" applyFill="1" applyBorder="1"/>
    <xf numFmtId="0" fontId="4" fillId="2" borderId="14" xfId="6" applyFont="1" applyFill="1" applyBorder="1" applyAlignment="1">
      <alignment horizontal="right"/>
    </xf>
    <xf numFmtId="171" fontId="5" fillId="2" borderId="13" xfId="6" applyNumberFormat="1" applyFont="1" applyFill="1" applyBorder="1"/>
    <xf numFmtId="0" fontId="18" fillId="6" borderId="0" xfId="10" applyFont="1" applyFill="1" applyBorder="1" applyAlignment="1">
      <alignment horizontal="center"/>
    </xf>
    <xf numFmtId="0" fontId="4" fillId="6" borderId="0" xfId="10" applyFill="1"/>
    <xf numFmtId="0" fontId="18" fillId="6" borderId="0" xfId="10" applyFont="1" applyFill="1" applyAlignment="1">
      <alignment horizontal="center"/>
    </xf>
    <xf numFmtId="0" fontId="4" fillId="6" borderId="10" xfId="10" applyFill="1" applyBorder="1"/>
    <xf numFmtId="0" fontId="19" fillId="6" borderId="15" xfId="10" applyFont="1" applyFill="1" applyBorder="1" applyAlignment="1">
      <alignment horizontal="center"/>
    </xf>
    <xf numFmtId="0" fontId="4" fillId="6" borderId="11" xfId="10" applyFill="1" applyBorder="1"/>
    <xf numFmtId="0" fontId="5" fillId="6" borderId="0" xfId="10" applyFont="1" applyFill="1" applyBorder="1" applyAlignment="1">
      <alignment horizontal="left"/>
    </xf>
    <xf numFmtId="0" fontId="5" fillId="6" borderId="0" xfId="10" applyFont="1" applyFill="1"/>
    <xf numFmtId="0" fontId="1" fillId="6" borderId="0" xfId="0" applyFont="1" applyFill="1"/>
    <xf numFmtId="0" fontId="0" fillId="6" borderId="0" xfId="0" applyFill="1"/>
    <xf numFmtId="0" fontId="0" fillId="6" borderId="1" xfId="0" applyFill="1" applyBorder="1"/>
    <xf numFmtId="0" fontId="1" fillId="6" borderId="2" xfId="0" applyFont="1" applyFill="1" applyBorder="1"/>
    <xf numFmtId="0" fontId="0" fillId="6" borderId="3" xfId="0" applyFill="1" applyBorder="1"/>
    <xf numFmtId="0" fontId="0" fillId="6" borderId="5" xfId="0" applyFill="1" applyBorder="1" applyAlignment="1">
      <alignment horizontal="right"/>
    </xf>
    <xf numFmtId="165" fontId="0" fillId="6" borderId="0" xfId="0" applyNumberFormat="1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left"/>
    </xf>
    <xf numFmtId="169" fontId="0" fillId="6" borderId="0" xfId="0" applyNumberFormat="1" applyFill="1"/>
    <xf numFmtId="169" fontId="0" fillId="0" borderId="1" xfId="0" applyNumberFormat="1" applyFill="1" applyBorder="1"/>
    <xf numFmtId="2" fontId="0" fillId="0" borderId="1" xfId="0" applyNumberFormat="1" applyFill="1" applyBorder="1"/>
    <xf numFmtId="1" fontId="0" fillId="0" borderId="1" xfId="0" applyNumberFormat="1" applyFill="1" applyBorder="1"/>
    <xf numFmtId="0" fontId="16" fillId="0" borderId="16" xfId="9" applyFont="1" applyBorder="1" applyAlignment="1">
      <alignment horizontal="center" vertical="center" wrapText="1"/>
    </xf>
    <xf numFmtId="0" fontId="16" fillId="0" borderId="17" xfId="9" applyFont="1" applyBorder="1" applyAlignment="1">
      <alignment horizontal="center" vertical="center" wrapText="1"/>
    </xf>
    <xf numFmtId="0" fontId="16" fillId="0" borderId="18" xfId="9" applyFont="1" applyBorder="1" applyAlignment="1">
      <alignment horizontal="center" vertical="center" wrapText="1"/>
    </xf>
    <xf numFmtId="0" fontId="2" fillId="4" borderId="2" xfId="8" applyFont="1" applyFill="1" applyBorder="1" applyAlignment="1">
      <alignment horizontal="center"/>
    </xf>
    <xf numFmtId="0" fontId="2" fillId="4" borderId="3" xfId="8" applyFill="1" applyBorder="1" applyAlignment="1">
      <alignment horizontal="center"/>
    </xf>
    <xf numFmtId="0" fontId="2" fillId="4" borderId="4" xfId="8" applyFill="1" applyBorder="1" applyAlignment="1">
      <alignment horizontal="center"/>
    </xf>
  </cellXfs>
  <cellStyles count="11">
    <cellStyle name="Euro" xfId="1"/>
    <cellStyle name="normal" xfId="2"/>
    <cellStyle name="Prozent" xfId="3" builtinId="5"/>
    <cellStyle name="Standard" xfId="0" builtinId="0"/>
    <cellStyle name="Standard 2" xfId="9"/>
    <cellStyle name="Standard 3" xfId="10"/>
    <cellStyle name="Standard_Aufg. 3.7.9" xfId="4"/>
    <cellStyle name="Standard_Beisp. 8.6.1" xfId="5"/>
    <cellStyle name="Standard_Beisp. 8.6.5" xfId="6"/>
    <cellStyle name="Standard_Beisp. 8.8.1" xfId="7"/>
    <cellStyle name="Standard_PFM3A_03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  <a:r>
              <a:rPr lang="de-DE" sz="1000" b="0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(3)</a:t>
            </a:r>
          </a:p>
        </c:rich>
      </c:tx>
      <c:layout>
        <c:manualLayout>
          <c:xMode val="edge"/>
          <c:yMode val="edge"/>
          <c:x val="0.54203051978747674"/>
          <c:y val="0.5054945054945054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4235717379182"/>
          <c:y val="0.25274725274725274"/>
          <c:w val="0.84637920736868033"/>
          <c:h val="0.5329670329670329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50"/>
              <c:layout>
                <c:manualLayout>
                  <c:x val="-2.9603833386719347E-2"/>
                  <c:y val="0.21951083037697217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x</a:t>
                    </a:r>
                    <a:r>
                      <a:rPr lang="de-DE" sz="8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(1)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1"/>
              <c:layout>
                <c:manualLayout>
                  <c:x val="-3.4937153253134956E-2"/>
                  <c:y val="-0.12312480170747886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x</a:t>
                    </a:r>
                    <a:r>
                      <a:rPr lang="de-DE" sz="8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(2)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'Abb. 3.2.2'!$A$2:$A$53</c:f>
              <c:numCache>
                <c:formatCode>General</c:formatCode>
                <c:ptCount val="52"/>
                <c:pt idx="0">
                  <c:v>0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0.21</c:v>
                </c:pt>
                <c:pt idx="4">
                  <c:v>0.28000000000000003</c:v>
                </c:pt>
                <c:pt idx="5">
                  <c:v>0.35</c:v>
                </c:pt>
                <c:pt idx="6">
                  <c:v>0.42</c:v>
                </c:pt>
                <c:pt idx="7">
                  <c:v>0.49</c:v>
                </c:pt>
                <c:pt idx="8">
                  <c:v>0.56000000000000005</c:v>
                </c:pt>
                <c:pt idx="9">
                  <c:v>0.63</c:v>
                </c:pt>
                <c:pt idx="10">
                  <c:v>0.7</c:v>
                </c:pt>
                <c:pt idx="11">
                  <c:v>0.77</c:v>
                </c:pt>
                <c:pt idx="12">
                  <c:v>0.84</c:v>
                </c:pt>
                <c:pt idx="13">
                  <c:v>0.91</c:v>
                </c:pt>
                <c:pt idx="14">
                  <c:v>0.98</c:v>
                </c:pt>
                <c:pt idx="15">
                  <c:v>1.05</c:v>
                </c:pt>
                <c:pt idx="16">
                  <c:v>1.1200000000000001</c:v>
                </c:pt>
                <c:pt idx="17">
                  <c:v>1.19</c:v>
                </c:pt>
                <c:pt idx="18">
                  <c:v>1.26</c:v>
                </c:pt>
                <c:pt idx="19">
                  <c:v>1.33</c:v>
                </c:pt>
                <c:pt idx="20">
                  <c:v>1.4</c:v>
                </c:pt>
                <c:pt idx="21">
                  <c:v>1.47</c:v>
                </c:pt>
                <c:pt idx="22">
                  <c:v>1.54</c:v>
                </c:pt>
                <c:pt idx="23">
                  <c:v>1.61</c:v>
                </c:pt>
                <c:pt idx="24">
                  <c:v>1.68</c:v>
                </c:pt>
                <c:pt idx="25">
                  <c:v>1.75</c:v>
                </c:pt>
                <c:pt idx="26">
                  <c:v>1.82</c:v>
                </c:pt>
                <c:pt idx="27">
                  <c:v>1.89</c:v>
                </c:pt>
                <c:pt idx="28">
                  <c:v>1.96</c:v>
                </c:pt>
                <c:pt idx="29">
                  <c:v>2.0299999999999998</c:v>
                </c:pt>
                <c:pt idx="30">
                  <c:v>2.1</c:v>
                </c:pt>
                <c:pt idx="31">
                  <c:v>2.17</c:v>
                </c:pt>
                <c:pt idx="32">
                  <c:v>2.2400000000000002</c:v>
                </c:pt>
                <c:pt idx="33">
                  <c:v>2.31</c:v>
                </c:pt>
                <c:pt idx="34">
                  <c:v>2.38</c:v>
                </c:pt>
                <c:pt idx="35">
                  <c:v>2.4500000000000002</c:v>
                </c:pt>
                <c:pt idx="36">
                  <c:v>2.52</c:v>
                </c:pt>
                <c:pt idx="37">
                  <c:v>2.59</c:v>
                </c:pt>
                <c:pt idx="38">
                  <c:v>2.66</c:v>
                </c:pt>
                <c:pt idx="39">
                  <c:v>2.73</c:v>
                </c:pt>
                <c:pt idx="40">
                  <c:v>2.8</c:v>
                </c:pt>
                <c:pt idx="41">
                  <c:v>2.87</c:v>
                </c:pt>
                <c:pt idx="42">
                  <c:v>2.94</c:v>
                </c:pt>
                <c:pt idx="43">
                  <c:v>3.01</c:v>
                </c:pt>
                <c:pt idx="44">
                  <c:v>3.08</c:v>
                </c:pt>
                <c:pt idx="45">
                  <c:v>3.15</c:v>
                </c:pt>
                <c:pt idx="46">
                  <c:v>3.22</c:v>
                </c:pt>
                <c:pt idx="47">
                  <c:v>3.29</c:v>
                </c:pt>
                <c:pt idx="48">
                  <c:v>3.36</c:v>
                </c:pt>
                <c:pt idx="49">
                  <c:v>5</c:v>
                </c:pt>
                <c:pt idx="50">
                  <c:v>0.56000000000000005</c:v>
                </c:pt>
                <c:pt idx="51">
                  <c:v>2.64</c:v>
                </c:pt>
              </c:numCache>
            </c:numRef>
          </c:xVal>
          <c:yVal>
            <c:numRef>
              <c:f>'Abb. 3.2.2'!$B$2:$B$53</c:f>
              <c:numCache>
                <c:formatCode>General</c:formatCode>
                <c:ptCount val="52"/>
                <c:pt idx="0">
                  <c:v>252.5</c:v>
                </c:pt>
                <c:pt idx="1">
                  <c:v>235.36408200499989</c:v>
                </c:pt>
                <c:pt idx="2">
                  <c:v>218.94275208000005</c:v>
                </c:pt>
                <c:pt idx="3">
                  <c:v>203.215862405</c:v>
                </c:pt>
                <c:pt idx="4">
                  <c:v>188.16355327999995</c:v>
                </c:pt>
                <c:pt idx="5">
                  <c:v>173.76625312500005</c:v>
                </c:pt>
                <c:pt idx="6">
                  <c:v>160.00467848000002</c:v>
                </c:pt>
                <c:pt idx="7">
                  <c:v>146.85983400499998</c:v>
                </c:pt>
                <c:pt idx="8">
                  <c:v>134.31301247999991</c:v>
                </c:pt>
                <c:pt idx="9">
                  <c:v>122.34579480500003</c:v>
                </c:pt>
                <c:pt idx="10">
                  <c:v>110.94004999999999</c:v>
                </c:pt>
                <c:pt idx="11">
                  <c:v>100.07793520500007</c:v>
                </c:pt>
                <c:pt idx="12">
                  <c:v>89.741895680000027</c:v>
                </c:pt>
                <c:pt idx="13">
                  <c:v>79.914664804999973</c:v>
                </c:pt>
                <c:pt idx="14">
                  <c:v>70.579264079999916</c:v>
                </c:pt>
                <c:pt idx="15">
                  <c:v>61.719003125000015</c:v>
                </c:pt>
                <c:pt idx="16">
                  <c:v>53.317479679999991</c:v>
                </c:pt>
                <c:pt idx="17">
                  <c:v>45.358579605000003</c:v>
                </c:pt>
                <c:pt idx="18">
                  <c:v>37.82647688000003</c:v>
                </c:pt>
                <c:pt idx="19">
                  <c:v>30.705633604999989</c:v>
                </c:pt>
                <c:pt idx="20">
                  <c:v>23.980800000000016</c:v>
                </c:pt>
                <c:pt idx="21">
                  <c:v>17.637014405000031</c:v>
                </c:pt>
                <c:pt idx="22">
                  <c:v>11.659603279999999</c:v>
                </c:pt>
                <c:pt idx="23">
                  <c:v>6.0341812049999675</c:v>
                </c:pt>
                <c:pt idx="24">
                  <c:v>0.74665088000001134</c:v>
                </c:pt>
                <c:pt idx="25">
                  <c:v>-4.216796875</c:v>
                </c:pt>
                <c:pt idx="26">
                  <c:v>-8.8696831200000261</c:v>
                </c:pt>
                <c:pt idx="27">
                  <c:v>-13.225240794999976</c:v>
                </c:pt>
                <c:pt idx="28">
                  <c:v>-17.296414720000001</c:v>
                </c:pt>
                <c:pt idx="29">
                  <c:v>-21.095861594999988</c:v>
                </c:pt>
                <c:pt idx="30">
                  <c:v>-24.635950000000001</c:v>
                </c:pt>
                <c:pt idx="31">
                  <c:v>-27.928760394999998</c:v>
                </c:pt>
                <c:pt idx="32">
                  <c:v>-30.986085120000009</c:v>
                </c:pt>
                <c:pt idx="33">
                  <c:v>-33.819428395000003</c:v>
                </c:pt>
                <c:pt idx="34">
                  <c:v>-36.440006319999995</c:v>
                </c:pt>
                <c:pt idx="35">
                  <c:v>-38.858746875000008</c:v>
                </c:pt>
                <c:pt idx="36">
                  <c:v>-41.086289919999999</c:v>
                </c:pt>
                <c:pt idx="37">
                  <c:v>-43.132987194999998</c:v>
                </c:pt>
                <c:pt idx="38">
                  <c:v>-45.008902320000004</c:v>
                </c:pt>
                <c:pt idx="39">
                  <c:v>-46.723810794999999</c:v>
                </c:pt>
                <c:pt idx="40">
                  <c:v>-48.287199999999999</c:v>
                </c:pt>
                <c:pt idx="41">
                  <c:v>-49.708269195</c:v>
                </c:pt>
                <c:pt idx="42">
                  <c:v>-50.995929520000004</c:v>
                </c:pt>
                <c:pt idx="43">
                  <c:v>-52.158803995</c:v>
                </c:pt>
                <c:pt idx="44">
                  <c:v>-53.205227520000001</c:v>
                </c:pt>
                <c:pt idx="45">
                  <c:v>-54.143246875000003</c:v>
                </c:pt>
                <c:pt idx="46">
                  <c:v>-54.980620720000005</c:v>
                </c:pt>
                <c:pt idx="47">
                  <c:v>-55.724819595</c:v>
                </c:pt>
                <c:pt idx="48">
                  <c:v>-56.383025920000001</c:v>
                </c:pt>
                <c:pt idx="50">
                  <c:v>134.31301247999991</c:v>
                </c:pt>
                <c:pt idx="51">
                  <c:v>-44.489777920000002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173504"/>
        <c:axId val="227174080"/>
      </c:scatterChart>
      <c:valAx>
        <c:axId val="227173504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</a:t>
                </a:r>
              </a:p>
            </c:rich>
          </c:tx>
          <c:layout>
            <c:manualLayout>
              <c:xMode val="edge"/>
              <c:yMode val="edge"/>
              <c:x val="0.92753885739033459"/>
              <c:y val="0.62637362637362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7174080"/>
        <c:crosses val="autoZero"/>
        <c:crossBetween val="midCat"/>
        <c:majorUnit val="4"/>
        <c:minorUnit val="1"/>
      </c:valAx>
      <c:valAx>
        <c:axId val="227174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g(x) - C</a:t>
                </a:r>
              </a:p>
            </c:rich>
          </c:tx>
          <c:layout>
            <c:manualLayout>
              <c:xMode val="edge"/>
              <c:yMode val="edge"/>
              <c:x val="0.17391353576068772"/>
              <c:y val="0.26923076923076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71735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Kapitalwertkurve
</a:t>
            </a:r>
          </a:p>
        </c:rich>
      </c:tx>
      <c:layout>
        <c:manualLayout>
          <c:xMode val="edge"/>
          <c:yMode val="edge"/>
          <c:x val="0.37444933920704848"/>
          <c:y val="2.5510267633598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4273127753304"/>
          <c:y val="0.12244928464127432"/>
          <c:w val="0.66960352422907488"/>
          <c:h val="0.8571449924889201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'Abb. 3.4.2'!$B$16:$B$127</c:f>
              <c:numCache>
                <c:formatCode>0.00%</c:formatCode>
                <c:ptCount val="112"/>
                <c:pt idx="0" formatCode="0%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</c:numCache>
            </c:numRef>
          </c:xVal>
          <c:yVal>
            <c:numRef>
              <c:f>'Abb. 3.4.2'!$C$16:$C$127</c:f>
              <c:numCache>
                <c:formatCode>#,##0.00</c:formatCode>
                <c:ptCount val="112"/>
                <c:pt idx="1">
                  <c:v>175.57975776011088</c:v>
                </c:pt>
                <c:pt idx="2">
                  <c:v>152.27928926280237</c:v>
                </c:pt>
                <c:pt idx="3">
                  <c:v>130.04162979408409</c:v>
                </c:pt>
                <c:pt idx="4">
                  <c:v>108.81315430131993</c:v>
                </c:pt>
                <c:pt idx="5">
                  <c:v>88.54335384947619</c:v>
                </c:pt>
                <c:pt idx="6">
                  <c:v>69.184628921861517</c:v>
                </c:pt>
                <c:pt idx="7">
                  <c:v>50.692098154921901</c:v>
                </c:pt>
                <c:pt idx="8">
                  <c:v>33.023421226439012</c:v>
                </c:pt>
                <c:pt idx="9">
                  <c:v>16.138634733276142</c:v>
                </c:pt>
                <c:pt idx="10">
                  <c:v>-2.0670334131202914E-13</c:v>
                </c:pt>
                <c:pt idx="11">
                  <c:v>-15.428138145449823</c:v>
                </c:pt>
                <c:pt idx="12">
                  <c:v>-30.179482507288419</c:v>
                </c:pt>
                <c:pt idx="13">
                  <c:v>-44.285905369544601</c:v>
                </c:pt>
                <c:pt idx="14">
                  <c:v>-57.777561786892562</c:v>
                </c:pt>
                <c:pt idx="15">
                  <c:v>-70.682994986438615</c:v>
                </c:pt>
                <c:pt idx="16">
                  <c:v>-83.029234490958942</c:v>
                </c:pt>
                <c:pt idx="17">
                  <c:v>-94.841887522141661</c:v>
                </c:pt>
                <c:pt idx="18">
                  <c:v>-106.14522419526813</c:v>
                </c:pt>
                <c:pt idx="19">
                  <c:v>-116.96225697397101</c:v>
                </c:pt>
                <c:pt idx="20">
                  <c:v>-127.31481481481477</c:v>
                </c:pt>
                <c:pt idx="21">
                  <c:v>-137.22361239607326</c:v>
                </c:pt>
                <c:pt idx="22">
                  <c:v>-146.70831479286809</c:v>
                </c:pt>
                <c:pt idx="23">
                  <c:v>-155.78759793150181</c:v>
                </c:pt>
                <c:pt idx="24">
                  <c:v>-164.47920512906583</c:v>
                </c:pt>
                <c:pt idx="25">
                  <c:v>-172.8</c:v>
                </c:pt>
                <c:pt idx="26">
                  <c:v>-180.76601598899413</c:v>
                </c:pt>
                <c:pt idx="27">
                  <c:v>-188.39250276925748</c:v>
                </c:pt>
                <c:pt idx="28">
                  <c:v>-195.6939697265625</c:v>
                </c:pt>
                <c:pt idx="29">
                  <c:v>-202.68422673242375</c:v>
                </c:pt>
                <c:pt idx="30">
                  <c:v>-209.37642239417397</c:v>
                </c:pt>
                <c:pt idx="31">
                  <c:v>-215.78307995539333</c:v>
                </c:pt>
                <c:pt idx="32">
                  <c:v>-221.91613100704012</c:v>
                </c:pt>
                <c:pt idx="33">
                  <c:v>-227.78694715759383</c:v>
                </c:pt>
                <c:pt idx="34">
                  <c:v>-233.40636979947675</c:v>
                </c:pt>
                <c:pt idx="35">
                  <c:v>-238.78473809886708</c:v>
                </c:pt>
                <c:pt idx="36">
                  <c:v>-243.93191532668442</c:v>
                </c:pt>
                <c:pt idx="37">
                  <c:v>-248.85731363993978</c:v>
                </c:pt>
                <c:pt idx="38">
                  <c:v>-253.56991741474363</c:v>
                </c:pt>
                <c:pt idx="39">
                  <c:v>-258.07830522497801</c:v>
                </c:pt>
                <c:pt idx="40">
                  <c:v>-262.39067055393593</c:v>
                </c:pt>
                <c:pt idx="41">
                  <c:v>-266.51484132003867</c:v>
                </c:pt>
                <c:pt idx="42">
                  <c:v>-270.45829829203353</c:v>
                </c:pt>
                <c:pt idx="43">
                  <c:v>-274.22819246380305</c:v>
                </c:pt>
                <c:pt idx="44">
                  <c:v>-277.83136145404666</c:v>
                </c:pt>
                <c:pt idx="45">
                  <c:v>-281.27434499159466</c:v>
                </c:pt>
                <c:pt idx="46">
                  <c:v>-284.56339954295066</c:v>
                </c:pt>
                <c:pt idx="47">
                  <c:v>-287.70451213480914</c:v>
                </c:pt>
                <c:pt idx="48">
                  <c:v>-290.70341342072538</c:v>
                </c:pt>
                <c:pt idx="49">
                  <c:v>-293.56559003781507</c:v>
                </c:pt>
                <c:pt idx="50">
                  <c:v>-296.29629629629642</c:v>
                </c:pt>
                <c:pt idx="51">
                  <c:v>-298.90056524185223</c:v>
                </c:pt>
                <c:pt idx="52">
                  <c:v>-301.38321912815286</c:v>
                </c:pt>
                <c:pt idx="53">
                  <c:v>-303.74887933443847</c:v>
                </c:pt>
                <c:pt idx="54">
                  <c:v>-306.00197576078841</c:v>
                </c:pt>
                <c:pt idx="55">
                  <c:v>-308.14675573159684</c:v>
                </c:pt>
                <c:pt idx="56">
                  <c:v>-310.18729243581316</c:v>
                </c:pt>
                <c:pt idx="57">
                  <c:v>-312.12749293068316</c:v>
                </c:pt>
                <c:pt idx="58">
                  <c:v>-313.97110573402915</c:v>
                </c:pt>
                <c:pt idx="59">
                  <c:v>-315.72172802853169</c:v>
                </c:pt>
                <c:pt idx="60">
                  <c:v>-317.38281250000006</c:v>
                </c:pt>
                <c:pt idx="61">
                  <c:v>-318.95767383025492</c:v>
                </c:pt>
                <c:pt idx="62">
                  <c:v>-320.44949486396428</c:v>
                </c:pt>
                <c:pt idx="63">
                  <c:v>-321.8613324675859</c:v>
                </c:pt>
                <c:pt idx="64">
                  <c:v>-323.19612309745946</c:v>
                </c:pt>
                <c:pt idx="65">
                  <c:v>-324.45668809305181</c:v>
                </c:pt>
                <c:pt idx="66">
                  <c:v>-325.64573871039391</c:v>
                </c:pt>
                <c:pt idx="67">
                  <c:v>-326.76588090984302</c:v>
                </c:pt>
                <c:pt idx="68">
                  <c:v>-327.8196199114567</c:v>
                </c:pt>
                <c:pt idx="69">
                  <c:v>-328.80936453047974</c:v>
                </c:pt>
                <c:pt idx="70">
                  <c:v>-329.73743130470189</c:v>
                </c:pt>
                <c:pt idx="71">
                  <c:v>-330.60604842475647</c:v>
                </c:pt>
                <c:pt idx="72">
                  <c:v>-331.41735947778193</c:v>
                </c:pt>
                <c:pt idx="73">
                  <c:v>-332.17342701426139</c:v>
                </c:pt>
                <c:pt idx="74">
                  <c:v>-332.87623594729257</c:v>
                </c:pt>
                <c:pt idx="75">
                  <c:v>-333.52769679300303</c:v>
                </c:pt>
                <c:pt idx="76">
                  <c:v>-334.12964876033067</c:v>
                </c:pt>
                <c:pt idx="77">
                  <c:v>-334.68386269792455</c:v>
                </c:pt>
                <c:pt idx="78">
                  <c:v>-335.19204390547674</c:v>
                </c:pt>
                <c:pt idx="79">
                  <c:v>-335.65583481639015</c:v>
                </c:pt>
                <c:pt idx="80">
                  <c:v>-336.07681755829907</c:v>
                </c:pt>
                <c:pt idx="81">
                  <c:v>-336.45651639759649</c:v>
                </c:pt>
                <c:pt idx="82">
                  <c:v>-336.79640007378208</c:v>
                </c:pt>
                <c:pt idx="83">
                  <c:v>-337.097884029125</c:v>
                </c:pt>
                <c:pt idx="84">
                  <c:v>-337.36233253883461</c:v>
                </c:pt>
                <c:pt idx="85">
                  <c:v>-337.59106074664879</c:v>
                </c:pt>
                <c:pt idx="86">
                  <c:v>-337.78533661048516</c:v>
                </c:pt>
                <c:pt idx="87">
                  <c:v>-337.94638276254767</c:v>
                </c:pt>
                <c:pt idx="88">
                  <c:v>-338.07537828804794</c:v>
                </c:pt>
                <c:pt idx="89">
                  <c:v>-338.17346042647694</c:v>
                </c:pt>
                <c:pt idx="90">
                  <c:v>-338.24172619915436</c:v>
                </c:pt>
                <c:pt idx="91">
                  <c:v>-338.28123396658748</c:v>
                </c:pt>
                <c:pt idx="92">
                  <c:v>-338.29300491898152</c:v>
                </c:pt>
                <c:pt idx="93">
                  <c:v>-338.27802450307456</c:v>
                </c:pt>
                <c:pt idx="94">
                  <c:v>-338.23724378830099</c:v>
                </c:pt>
                <c:pt idx="95">
                  <c:v>-338.17158077513108</c:v>
                </c:pt>
                <c:pt idx="96">
                  <c:v>-338.08192164829279</c:v>
                </c:pt>
                <c:pt idx="97">
                  <c:v>-337.9691219774366</c:v>
                </c:pt>
                <c:pt idx="98">
                  <c:v>-337.83400786767794</c:v>
                </c:pt>
                <c:pt idx="99">
                  <c:v>-337.67737706232731</c:v>
                </c:pt>
                <c:pt idx="100">
                  <c:v>-337.49999999999994</c:v>
                </c:pt>
                <c:pt idx="101">
                  <c:v>-337.30262082818746</c:v>
                </c:pt>
                <c:pt idx="102">
                  <c:v>-337.08595837527093</c:v>
                </c:pt>
                <c:pt idx="103">
                  <c:v>-336.85070708285417</c:v>
                </c:pt>
                <c:pt idx="104">
                  <c:v>-336.59753790020426</c:v>
                </c:pt>
                <c:pt idx="105">
                  <c:v>-336.32709914249648</c:v>
                </c:pt>
                <c:pt idx="106">
                  <c:v>-336.04001731448017</c:v>
                </c:pt>
                <c:pt idx="107">
                  <c:v>-335.73689790110041</c:v>
                </c:pt>
                <c:pt idx="108">
                  <c:v>-335.41832612653616</c:v>
                </c:pt>
                <c:pt idx="109">
                  <c:v>-335.08486768304653</c:v>
                </c:pt>
                <c:pt idx="110">
                  <c:v>-334.73706943094697</c:v>
                </c:pt>
                <c:pt idx="111">
                  <c:v>-334.37546007097558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175808"/>
        <c:axId val="227176384"/>
      </c:scatterChart>
      <c:valAx>
        <c:axId val="227175808"/>
        <c:scaling>
          <c:orientation val="minMax"/>
          <c:max val="0.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Kalkulationszins</a:t>
                </a:r>
              </a:p>
            </c:rich>
          </c:tx>
          <c:layout>
            <c:manualLayout>
              <c:xMode val="edge"/>
              <c:yMode val="edge"/>
              <c:x val="0.62114537444933926"/>
              <c:y val="0.4897971385650972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7176384"/>
        <c:crosses val="autoZero"/>
        <c:crossBetween val="midCat"/>
        <c:majorUnit val="0.05"/>
        <c:minorUnit val="0.01"/>
      </c:valAx>
      <c:valAx>
        <c:axId val="227176384"/>
        <c:scaling>
          <c:orientation val="minMax"/>
          <c:max val="250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Kapital-wert</a:t>
                </a:r>
              </a:p>
            </c:rich>
          </c:tx>
          <c:layout>
            <c:manualLayout>
              <c:xMode val="edge"/>
              <c:yMode val="edge"/>
              <c:x val="4.8458149779735685E-2"/>
              <c:y val="2.55102676335988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717580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Kapitalwert</a:t>
            </a:r>
          </a:p>
        </c:rich>
      </c:tx>
      <c:layout>
        <c:manualLayout>
          <c:xMode val="edge"/>
          <c:yMode val="edge"/>
          <c:x val="0.50260544485841074"/>
          <c:y val="2.0491844285997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70420762179"/>
          <c:y val="9.8360852572787066E-2"/>
          <c:w val="0.80208537314191986"/>
          <c:h val="0.7950835582966955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'Beisp. 3.4.2'!$B$35:$B$146</c:f>
              <c:numCache>
                <c:formatCode>0.00%</c:formatCode>
                <c:ptCount val="112"/>
                <c:pt idx="0" formatCode="0%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</c:numCache>
            </c:numRef>
          </c:xVal>
          <c:yVal>
            <c:numRef>
              <c:f>'Beisp. 3.4.2'!$C$35:$C$146</c:f>
              <c:numCache>
                <c:formatCode>#,##0.00</c:formatCode>
                <c:ptCount val="112"/>
                <c:pt idx="0">
                  <c:v>-50</c:v>
                </c:pt>
                <c:pt idx="1">
                  <c:v>-42.803025523609435</c:v>
                </c:pt>
                <c:pt idx="2">
                  <c:v>-36.185177646606526</c:v>
                </c:pt>
                <c:pt idx="3">
                  <c:v>-30.108160592719276</c:v>
                </c:pt>
                <c:pt idx="4">
                  <c:v>-24.536299499317018</c:v>
                </c:pt>
                <c:pt idx="5">
                  <c:v>-19.436345966958122</c:v>
                </c:pt>
                <c:pt idx="6">
                  <c:v>-14.777299381368488</c:v>
                </c:pt>
                <c:pt idx="7">
                  <c:v>-10.530242611892</c:v>
                </c:pt>
                <c:pt idx="8">
                  <c:v>-6.6681908245693977</c:v>
                </c:pt>
                <c:pt idx="9">
                  <c:v>-3.1659522682502934</c:v>
                </c:pt>
                <c:pt idx="10">
                  <c:v>0</c:v>
                </c:pt>
                <c:pt idx="11">
                  <c:v>2.8516463870739641</c:v>
                </c:pt>
                <c:pt idx="12">
                  <c:v>5.4095298833818877</c:v>
                </c:pt>
                <c:pt idx="13">
                  <c:v>7.6928568012823817</c:v>
                </c:pt>
                <c:pt idx="14">
                  <c:v>9.7195898333091861</c:v>
                </c:pt>
                <c:pt idx="15">
                  <c:v>11.506534067559741</c:v>
                </c:pt>
                <c:pt idx="16">
                  <c:v>13.069416540243679</c:v>
                </c:pt>
                <c:pt idx="17">
                  <c:v>14.422959853597341</c:v>
                </c:pt>
                <c:pt idx="18">
                  <c:v>15.580950340590096</c:v>
                </c:pt>
                <c:pt idx="19">
                  <c:v>16.556301215493722</c:v>
                </c:pt>
                <c:pt idx="20">
                  <c:v>17.361111111111239</c:v>
                </c:pt>
                <c:pt idx="21">
                  <c:v>18.006718368715418</c:v>
                </c:pt>
                <c:pt idx="22">
                  <c:v>18.503751415316781</c:v>
                </c:pt>
                <c:pt idx="23">
                  <c:v>18.862175534307397</c:v>
                </c:pt>
                <c:pt idx="24">
                  <c:v>19.091336309623976</c:v>
                </c:pt>
                <c:pt idx="25">
                  <c:v>19.2</c:v>
                </c:pt>
                <c:pt idx="26">
                  <c:v>19.196391078477454</c:v>
                </c:pt>
                <c:pt idx="27">
                  <c:v>19.088227152832225</c:v>
                </c:pt>
                <c:pt idx="28">
                  <c:v>18.88275146484375</c:v>
                </c:pt>
                <c:pt idx="29">
                  <c:v>18.586763150134868</c:v>
                </c:pt>
                <c:pt idx="30">
                  <c:v>18.206645425580412</c:v>
                </c:pt>
                <c:pt idx="31">
                  <c:v>17.748391857802925</c:v>
                </c:pt>
                <c:pt idx="32">
                  <c:v>17.217630853994418</c:v>
                </c:pt>
                <c:pt idx="33">
                  <c:v>16.619648505060386</c:v>
                </c:pt>
                <c:pt idx="34">
                  <c:v>15.959409900819024</c:v>
                </c:pt>
                <c:pt idx="35">
                  <c:v>15.241579027587315</c:v>
                </c:pt>
                <c:pt idx="36">
                  <c:v>14.470537349887989</c:v>
                </c:pt>
                <c:pt idx="37">
                  <c:v>13.650401170123279</c:v>
                </c:pt>
                <c:pt idx="38">
                  <c:v>12.785037852844127</c:v>
                </c:pt>
                <c:pt idx="39">
                  <c:v>11.878080993618179</c:v>
                </c:pt>
                <c:pt idx="40">
                  <c:v>10.932944606413944</c:v>
                </c:pt>
                <c:pt idx="41">
                  <c:v>9.9528363978436509</c:v>
                </c:pt>
                <c:pt idx="42">
                  <c:v>8.940770191472124</c:v>
                </c:pt>
                <c:pt idx="43">
                  <c:v>7.8995775606857084</c:v>
                </c:pt>
                <c:pt idx="44">
                  <c:v>6.8319187242798138</c:v>
                </c:pt>
                <c:pt idx="45">
                  <c:v>5.7402927549304836</c:v>
                </c:pt>
                <c:pt idx="46">
                  <c:v>4.6270471470398649</c:v>
                </c:pt>
                <c:pt idx="47">
                  <c:v>3.4943867870624885</c:v>
                </c:pt>
                <c:pt idx="48">
                  <c:v>2.3443823662961294</c:v>
                </c:pt>
                <c:pt idx="49">
                  <c:v>1.1789782732442735</c:v>
                </c:pt>
                <c:pt idx="50">
                  <c:v>0</c:v>
                </c:pt>
                <c:pt idx="51">
                  <c:v>-1.1908389053460358</c:v>
                </c:pt>
                <c:pt idx="52">
                  <c:v>-2.3919303105409693</c:v>
                </c:pt>
                <c:pt idx="53">
                  <c:v>-3.6017653676020434</c:v>
                </c:pt>
                <c:pt idx="54">
                  <c:v>-4.8189287521384578</c:v>
                </c:pt>
                <c:pt idx="55">
                  <c:v>-6.0420932496392572</c:v>
                </c:pt>
                <c:pt idx="56">
                  <c:v>-7.2700146664645278</c:v>
                </c:pt>
                <c:pt idx="57">
                  <c:v>-8.5015270448046856</c:v>
                </c:pt>
                <c:pt idx="58">
                  <c:v>-9.7355381622955495</c:v>
                </c:pt>
                <c:pt idx="59">
                  <c:v>-10.971025298288767</c:v>
                </c:pt>
                <c:pt idx="60">
                  <c:v>-12.207031249999998</c:v>
                </c:pt>
                <c:pt idx="61">
                  <c:v>-13.442660582884313</c:v>
                </c:pt>
                <c:pt idx="62">
                  <c:v>-14.677076100639674</c:v>
                </c:pt>
                <c:pt idx="63">
                  <c:v>-15.909495521211499</c:v>
                </c:pt>
                <c:pt idx="64">
                  <c:v>-17.139188346077415</c:v>
                </c:pt>
                <c:pt idx="65">
                  <c:v>-18.365472910927423</c:v>
                </c:pt>
                <c:pt idx="66">
                  <c:v>-19.587713606640257</c:v>
                </c:pt>
                <c:pt idx="67">
                  <c:v>-20.805318260177302</c:v>
                </c:pt>
                <c:pt idx="68">
                  <c:v>-22.017735665694914</c:v>
                </c:pt>
                <c:pt idx="69">
                  <c:v>-23.224453256799723</c:v>
                </c:pt>
                <c:pt idx="70">
                  <c:v>-24.424994911459414</c:v>
                </c:pt>
                <c:pt idx="71">
                  <c:v>-25.618918881623312</c:v>
                </c:pt>
                <c:pt idx="72">
                  <c:v>-26.805815840114757</c:v>
                </c:pt>
                <c:pt idx="73">
                  <c:v>-27.985307037831603</c:v>
                </c:pt>
                <c:pt idx="74">
                  <c:v>-29.157042564726453</c:v>
                </c:pt>
                <c:pt idx="75">
                  <c:v>-30.32069970845486</c:v>
                </c:pt>
                <c:pt idx="76">
                  <c:v>-31.475981404958787</c:v>
                </c:pt>
                <c:pt idx="77">
                  <c:v>-32.622614775610039</c:v>
                </c:pt>
                <c:pt idx="78">
                  <c:v>-33.760349745875438</c:v>
                </c:pt>
                <c:pt idx="79">
                  <c:v>-34.888957740771815</c:v>
                </c:pt>
                <c:pt idx="80">
                  <c:v>-36.00823045267493</c:v>
                </c:pt>
                <c:pt idx="81">
                  <c:v>-37.11797867731493</c:v>
                </c:pt>
                <c:pt idx="82">
                  <c:v>-38.218031214046206</c:v>
                </c:pt>
                <c:pt idx="83">
                  <c:v>-39.30823382671781</c:v>
                </c:pt>
                <c:pt idx="84">
                  <c:v>-40.388448261691572</c:v>
                </c:pt>
                <c:pt idx="85">
                  <c:v>-41.458551319763956</c:v>
                </c:pt>
                <c:pt idx="86">
                  <c:v>-42.518433978942177</c:v>
                </c:pt>
                <c:pt idx="87">
                  <c:v>-43.568000565206518</c:v>
                </c:pt>
                <c:pt idx="88">
                  <c:v>-44.60716796856196</c:v>
                </c:pt>
                <c:pt idx="89">
                  <c:v>-45.635864901842908</c:v>
                </c:pt>
                <c:pt idx="90">
                  <c:v>-46.654031199883441</c:v>
                </c:pt>
                <c:pt idx="91">
                  <c:v>-47.661617156804532</c:v>
                </c:pt>
                <c:pt idx="92">
                  <c:v>-48.658582899305607</c:v>
                </c:pt>
                <c:pt idx="93">
                  <c:v>-49.644897793966578</c:v>
                </c:pt>
                <c:pt idx="94">
                  <c:v>-50.62053988668454</c:v>
                </c:pt>
                <c:pt idx="95">
                  <c:v>-51.585495372477737</c:v>
                </c:pt>
                <c:pt idx="96">
                  <c:v>-52.539758093991473</c:v>
                </c:pt>
                <c:pt idx="97">
                  <c:v>-53.483329067136509</c:v>
                </c:pt>
                <c:pt idx="98">
                  <c:v>-54.416216032377712</c:v>
                </c:pt>
                <c:pt idx="99">
                  <c:v>-55.338433030281124</c:v>
                </c:pt>
                <c:pt idx="100">
                  <c:v>-56.250000000000142</c:v>
                </c:pt>
                <c:pt idx="101">
                  <c:v>-57.150942399460355</c:v>
                </c:pt>
                <c:pt idx="102">
                  <c:v>-58.041290846073224</c:v>
                </c:pt>
                <c:pt idx="103">
                  <c:v>-58.921080776868962</c:v>
                </c:pt>
                <c:pt idx="104">
                  <c:v>-59.790352127010003</c:v>
                </c:pt>
                <c:pt idx="105">
                  <c:v>-60.649149025696154</c:v>
                </c:pt>
                <c:pt idx="106">
                  <c:v>-61.497519508532385</c:v>
                </c:pt>
                <c:pt idx="107">
                  <c:v>-62.33551524548129</c:v>
                </c:pt>
                <c:pt idx="108">
                  <c:v>-63.163191283568636</c:v>
                </c:pt>
                <c:pt idx="109">
                  <c:v>-63.980605803559094</c:v>
                </c:pt>
                <c:pt idx="110">
                  <c:v>-64.787819889860742</c:v>
                </c:pt>
                <c:pt idx="111">
                  <c:v>-65.584897312956713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178112"/>
        <c:axId val="227178688"/>
      </c:scatterChart>
      <c:valAx>
        <c:axId val="227178112"/>
        <c:scaling>
          <c:orientation val="minMax"/>
          <c:max val="1"/>
          <c:min val="0"/>
        </c:scaling>
        <c:delete val="0"/>
        <c:axPos val="b"/>
        <c:numFmt formatCode="0%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7178688"/>
        <c:crosses val="autoZero"/>
        <c:crossBetween val="midCat"/>
        <c:majorUnit val="0.2"/>
        <c:minorUnit val="0.1"/>
      </c:valAx>
      <c:valAx>
        <c:axId val="227178688"/>
        <c:scaling>
          <c:orientation val="minMax"/>
        </c:scaling>
        <c:delete val="0"/>
        <c:axPos val="l"/>
        <c:numFmt formatCode="#,##0.00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7178112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Diskontierungsfunktion</a:t>
            </a:r>
          </a:p>
        </c:rich>
      </c:tx>
      <c:layout>
        <c:manualLayout>
          <c:xMode val="edge"/>
          <c:yMode val="edge"/>
          <c:x val="0.32575837909953809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68716137735109"/>
          <c:y val="0.21126760563380281"/>
          <c:w val="0.83333538839416721"/>
          <c:h val="0.55281690140845074"/>
        </c:manualLayout>
      </c:layout>
      <c:scatterChart>
        <c:scatterStyle val="lineMarker"/>
        <c:varyColors val="0"/>
        <c:ser>
          <c:idx val="1"/>
          <c:order val="0"/>
          <c:tx>
            <c:strRef>
              <c:f>'Beisp. 3.5.1'!$D$3</c:f>
              <c:strCache>
                <c:ptCount val="1"/>
                <c:pt idx="0">
                  <c:v>Spot Rate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'Beisp. 3.5.1'!$B$4:$B$12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'Beisp. 3.5.1'!$E$4:$E$12</c:f>
              <c:numCache>
                <c:formatCode>0.00000</c:formatCode>
                <c:ptCount val="9"/>
                <c:pt idx="0">
                  <c:v>1</c:v>
                </c:pt>
                <c:pt idx="1">
                  <c:v>0.99009900990099009</c:v>
                </c:pt>
                <c:pt idx="2">
                  <c:v>0.97642519020762708</c:v>
                </c:pt>
                <c:pt idx="3">
                  <c:v>0.9492852794049903</c:v>
                </c:pt>
                <c:pt idx="4">
                  <c:v>0.9238454260265142</c:v>
                </c:pt>
                <c:pt idx="5">
                  <c:v>0.88385428760951712</c:v>
                </c:pt>
                <c:pt idx="6">
                  <c:v>0.84978491361064379</c:v>
                </c:pt>
                <c:pt idx="7">
                  <c:v>0.80177974880022107</c:v>
                </c:pt>
                <c:pt idx="8">
                  <c:v>0.74409391489672516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93344"/>
        <c:axId val="193593920"/>
      </c:scatterChart>
      <c:valAx>
        <c:axId val="193593344"/>
        <c:scaling>
          <c:orientation val="minMax"/>
          <c:max val="10.9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de-DE"/>
                  <a:t>Laufzeit t</a:t>
                </a:r>
              </a:p>
            </c:rich>
          </c:tx>
          <c:layout>
            <c:manualLayout>
              <c:xMode val="edge"/>
              <c:yMode val="edge"/>
              <c:x val="0.83838590589958639"/>
              <c:y val="0.86267605633802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93593920"/>
        <c:crosses val="autoZero"/>
        <c:crossBetween val="midCat"/>
        <c:majorUnit val="1"/>
        <c:minorUnit val="1"/>
      </c:valAx>
      <c:valAx>
        <c:axId val="193593920"/>
        <c:scaling>
          <c:orientation val="minMax"/>
          <c:max val="1.03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de-DE"/>
                  <a:t>d(0,t)</a:t>
                </a:r>
              </a:p>
            </c:rich>
          </c:tx>
          <c:layout>
            <c:manualLayout>
              <c:xMode val="edge"/>
              <c:yMode val="edge"/>
              <c:x val="3.5353622537934365E-2"/>
              <c:y val="0.123239436619718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93593344"/>
        <c:crosses val="autoZero"/>
        <c:crossBetween val="midCat"/>
        <c:majorUnit val="0.1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Zinssätze</a:t>
            </a:r>
          </a:p>
        </c:rich>
      </c:tx>
      <c:layout>
        <c:manualLayout>
          <c:xMode val="edge"/>
          <c:yMode val="edge"/>
          <c:x val="0.43654822335025378"/>
          <c:y val="1.76678750066858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33502538071066"/>
          <c:y val="9.8940100037440706E-2"/>
          <c:w val="0.71573604060913709"/>
          <c:h val="0.7385171752794681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'Beisp. 3.5.1'!$B$5:$B$12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'Beisp. 3.5.1'!$D$5:$D$12</c:f>
              <c:numCache>
                <c:formatCode>0.00%</c:formatCode>
                <c:ptCount val="8"/>
                <c:pt idx="0">
                  <c:v>0.01</c:v>
                </c:pt>
                <c:pt idx="1">
                  <c:v>1.2E-2</c:v>
                </c:pt>
                <c:pt idx="2">
                  <c:v>1.7500000000000002E-2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2.75E-2</c:v>
                </c:pt>
                <c:pt idx="6">
                  <c:v>2.8000000000000001E-2</c:v>
                </c:pt>
                <c:pt idx="7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95648"/>
        <c:axId val="193596224"/>
      </c:scatterChart>
      <c:valAx>
        <c:axId val="193595648"/>
        <c:scaling>
          <c:orientation val="minMax"/>
          <c:max val="10.19999999999999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de-DE"/>
                  <a:t>Laufzeit in Jahren</a:t>
                </a:r>
              </a:p>
            </c:rich>
          </c:tx>
          <c:layout>
            <c:manualLayout>
              <c:xMode val="edge"/>
              <c:yMode val="edge"/>
              <c:x val="0.31979695431472083"/>
              <c:y val="0.92226307534900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93596224"/>
        <c:crosses val="autoZero"/>
        <c:crossBetween val="midCat"/>
        <c:majorUnit val="1"/>
      </c:valAx>
      <c:valAx>
        <c:axId val="1935962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93595648"/>
        <c:crosses val="autoZero"/>
        <c:crossBetween val="midCat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Renditen</a:t>
            </a:r>
          </a:p>
        </c:rich>
      </c:tx>
      <c:layout>
        <c:manualLayout>
          <c:xMode val="edge"/>
          <c:yMode val="edge"/>
          <c:x val="0.38697462798816146"/>
          <c:y val="2.192991849094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2584645087423"/>
          <c:y val="6.5789755472842451E-2"/>
          <c:w val="0.79310641577771712"/>
          <c:h val="0.745617228692214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'Abb 3..5.2'!$A$5</c:f>
              <c:strCache>
                <c:ptCount val="1"/>
                <c:pt idx="0">
                  <c:v>29.12.2000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chemeClr val="tx1"/>
              </a:solidFill>
            </c:spPr>
          </c:marker>
          <c:dLbls>
            <c:dLbl>
              <c:idx val="9"/>
              <c:layout>
                <c:manualLayout>
                  <c:x val="-0.19989549213483226"/>
                  <c:y val="3.990008745865138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de-DE"/>
                      <a:t>29.12.00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'Abb 3..5.2'!$B$4:$K$4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'Abb 3..5.2'!$B$5:$K$5</c:f>
              <c:numCache>
                <c:formatCode>General</c:formatCode>
                <c:ptCount val="10"/>
                <c:pt idx="0">
                  <c:v>4.88</c:v>
                </c:pt>
                <c:pt idx="1">
                  <c:v>4.57</c:v>
                </c:pt>
                <c:pt idx="2">
                  <c:v>4.6500000000000004</c:v>
                </c:pt>
                <c:pt idx="3">
                  <c:v>4.76</c:v>
                </c:pt>
                <c:pt idx="4">
                  <c:v>4.8600000000000003</c:v>
                </c:pt>
                <c:pt idx="5">
                  <c:v>4.99</c:v>
                </c:pt>
                <c:pt idx="6">
                  <c:v>5.07</c:v>
                </c:pt>
                <c:pt idx="7">
                  <c:v>5.09</c:v>
                </c:pt>
                <c:pt idx="8">
                  <c:v>5.0199999999999996</c:v>
                </c:pt>
                <c:pt idx="9">
                  <c:v>5.13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'Abb 3..5.2'!$A$6</c:f>
              <c:strCache>
                <c:ptCount val="1"/>
                <c:pt idx="0">
                  <c:v>30.12.2010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square"/>
            <c:size val="3"/>
            <c:spPr>
              <a:solidFill>
                <a:schemeClr val="tx1"/>
              </a:solidFill>
            </c:spPr>
          </c:marker>
          <c:dLbls>
            <c:dLbl>
              <c:idx val="9"/>
              <c:layout>
                <c:manualLayout>
                  <c:x val="-2.7481053922285059E-2"/>
                  <c:y val="-7.621065273775684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de-DE"/>
                      <a:t>30.12.10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'Abb 3..5.2'!$B$4:$K$4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'Abb 3..5.2'!$B$6:$K$6</c:f>
              <c:numCache>
                <c:formatCode>General</c:formatCode>
                <c:ptCount val="10"/>
                <c:pt idx="0">
                  <c:v>0.85</c:v>
                </c:pt>
                <c:pt idx="1">
                  <c:v>1.21</c:v>
                </c:pt>
                <c:pt idx="2">
                  <c:v>1.68</c:v>
                </c:pt>
                <c:pt idx="3">
                  <c:v>2.0499999999999998</c:v>
                </c:pt>
                <c:pt idx="4">
                  <c:v>2.3199999999999998</c:v>
                </c:pt>
                <c:pt idx="5">
                  <c:v>2.66</c:v>
                </c:pt>
                <c:pt idx="6">
                  <c:v>2.88</c:v>
                </c:pt>
                <c:pt idx="7">
                  <c:v>2.69</c:v>
                </c:pt>
                <c:pt idx="8">
                  <c:v>3.15</c:v>
                </c:pt>
                <c:pt idx="9">
                  <c:v>3.08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'Abb 3..5.2'!$A$7</c:f>
              <c:strCache>
                <c:ptCount val="1"/>
                <c:pt idx="0">
                  <c:v>30.12.2014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dLbls>
            <c:dLbl>
              <c:idx val="9"/>
              <c:layout>
                <c:manualLayout>
                  <c:x val="-8.4952533326467461E-2"/>
                  <c:y val="-5.631204104290454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de-DE"/>
                      <a:t>30.12.14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'Abb 3..5.2'!$B$4:$K$4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'Abb 3..5.2'!$B$7:$K$7</c:f>
              <c:numCache>
                <c:formatCode>General</c:formatCode>
                <c:ptCount val="10"/>
                <c:pt idx="0">
                  <c:v>-0.09</c:v>
                </c:pt>
                <c:pt idx="1">
                  <c:v>-0.03</c:v>
                </c:pt>
                <c:pt idx="2">
                  <c:v>0.01</c:v>
                </c:pt>
                <c:pt idx="3">
                  <c:v>0.06</c:v>
                </c:pt>
                <c:pt idx="4">
                  <c:v>0.22</c:v>
                </c:pt>
                <c:pt idx="5">
                  <c:v>0.39</c:v>
                </c:pt>
                <c:pt idx="6">
                  <c:v>0.42</c:v>
                </c:pt>
                <c:pt idx="7">
                  <c:v>0.55000000000000004</c:v>
                </c:pt>
                <c:pt idx="8">
                  <c:v>0.71</c:v>
                </c:pt>
                <c:pt idx="9">
                  <c:v>0.82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97952"/>
        <c:axId val="193598528"/>
      </c:scatterChart>
      <c:valAx>
        <c:axId val="193597952"/>
        <c:scaling>
          <c:orientation val="minMax"/>
          <c:max val="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Laufzeit in Jahren</a:t>
                </a:r>
              </a:p>
            </c:rich>
          </c:tx>
          <c:layout>
            <c:manualLayout>
              <c:xMode val="edge"/>
              <c:yMode val="edge"/>
              <c:x val="0.37931176406760381"/>
              <c:y val="0.89035469073246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3598528"/>
        <c:crossesAt val="-0.5"/>
        <c:crossBetween val="midCat"/>
        <c:majorUnit val="1"/>
      </c:valAx>
      <c:valAx>
        <c:axId val="193598528"/>
        <c:scaling>
          <c:orientation val="minMax"/>
          <c:max val="5.46"/>
          <c:min val="-0.5"/>
        </c:scaling>
        <c:delete val="0"/>
        <c:axPos val="l"/>
        <c:majorGridlines/>
        <c:numFmt formatCode="0.0\ &quot;%&quot;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3597952"/>
        <c:crosses val="autoZero"/>
        <c:crossBetween val="midCat"/>
        <c:majorUnit val="0.5"/>
        <c:minorUnit val="0.2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Diskontierungsfaktoren
 in Abhängigkeit der Laufzeit</a:t>
            </a:r>
          </a:p>
        </c:rich>
      </c:tx>
      <c:layout>
        <c:manualLayout>
          <c:xMode val="edge"/>
          <c:yMode val="edge"/>
          <c:x val="0.2734696602655256"/>
          <c:y val="2.9850777346641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91916047429101E-2"/>
          <c:y val="0.15778268026081951"/>
          <c:w val="0.72857215458800484"/>
          <c:h val="0.68656787897275517"/>
        </c:manualLayout>
      </c:layout>
      <c:scatterChart>
        <c:scatterStyle val="lineMarker"/>
        <c:varyColors val="0"/>
        <c:ser>
          <c:idx val="0"/>
          <c:order val="0"/>
          <c:tx>
            <c:strRef>
              <c:f>Diskontierungsfaktoren!$B$3</c:f>
              <c:strCache>
                <c:ptCount val="1"/>
                <c:pt idx="0">
                  <c:v>2%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Diskontierungsfaktoren!$A$4:$A$19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Diskontierungsfaktoren!$B$4:$B$19</c:f>
              <c:numCache>
                <c:formatCode>General</c:formatCode>
                <c:ptCount val="16"/>
                <c:pt idx="0">
                  <c:v>1</c:v>
                </c:pt>
                <c:pt idx="1">
                  <c:v>0.98039215686274506</c:v>
                </c:pt>
                <c:pt idx="2">
                  <c:v>0.96116878123798544</c:v>
                </c:pt>
                <c:pt idx="3">
                  <c:v>0.94232233454704462</c:v>
                </c:pt>
                <c:pt idx="4">
                  <c:v>0.9238454260265142</c:v>
                </c:pt>
                <c:pt idx="5">
                  <c:v>0.90573080982991594</c:v>
                </c:pt>
                <c:pt idx="6">
                  <c:v>0.88797138218619198</c:v>
                </c:pt>
                <c:pt idx="7">
                  <c:v>0.87056017861391388</c:v>
                </c:pt>
                <c:pt idx="8">
                  <c:v>0.85349037119011162</c:v>
                </c:pt>
                <c:pt idx="9">
                  <c:v>0.83675526587265847</c:v>
                </c:pt>
                <c:pt idx="10">
                  <c:v>0.82034829987515534</c:v>
                </c:pt>
                <c:pt idx="11">
                  <c:v>0.78849317558165644</c:v>
                </c:pt>
                <c:pt idx="12">
                  <c:v>0.75787502458828948</c:v>
                </c:pt>
                <c:pt idx="13">
                  <c:v>0.72844581371423445</c:v>
                </c:pt>
                <c:pt idx="14">
                  <c:v>0.7001593749656233</c:v>
                </c:pt>
                <c:pt idx="15">
                  <c:v>0.67297133310805779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Diskontierungsfaktoren!$C$3</c:f>
              <c:strCache>
                <c:ptCount val="1"/>
                <c:pt idx="0">
                  <c:v>4%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Diskontierungsfaktoren!$A$4:$A$19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Diskontierungsfaktoren!$C$4:$C$19</c:f>
              <c:numCache>
                <c:formatCode>General</c:formatCode>
                <c:ptCount val="16"/>
                <c:pt idx="0">
                  <c:v>1</c:v>
                </c:pt>
                <c:pt idx="1">
                  <c:v>0.96153846153846145</c:v>
                </c:pt>
                <c:pt idx="2">
                  <c:v>0.92455621301775137</c:v>
                </c:pt>
                <c:pt idx="3">
                  <c:v>0.88899635867091487</c:v>
                </c:pt>
                <c:pt idx="4">
                  <c:v>0.85480419102972571</c:v>
                </c:pt>
                <c:pt idx="5">
                  <c:v>0.82192710675935154</c:v>
                </c:pt>
                <c:pt idx="6">
                  <c:v>0.79031452573014571</c:v>
                </c:pt>
                <c:pt idx="7">
                  <c:v>0.75991781320206331</c:v>
                </c:pt>
                <c:pt idx="8">
                  <c:v>0.73069020500198378</c:v>
                </c:pt>
                <c:pt idx="9">
                  <c:v>0.70258673557883045</c:v>
                </c:pt>
                <c:pt idx="10">
                  <c:v>0.67556416882579851</c:v>
                </c:pt>
                <c:pt idx="11">
                  <c:v>0.62459704958006512</c:v>
                </c:pt>
                <c:pt idx="12">
                  <c:v>0.57747508282180582</c:v>
                </c:pt>
                <c:pt idx="13">
                  <c:v>0.53390817568584104</c:v>
                </c:pt>
                <c:pt idx="14">
                  <c:v>0.49362812101131748</c:v>
                </c:pt>
                <c:pt idx="15">
                  <c:v>0.45638694620129205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Diskontierungsfaktoren!$D$3</c:f>
              <c:strCache>
                <c:ptCount val="1"/>
                <c:pt idx="0">
                  <c:v>6%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Diskontierungsfaktoren!$A$4:$A$19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Diskontierungsfaktoren!$D$4:$D$19</c:f>
              <c:numCache>
                <c:formatCode>General</c:formatCode>
                <c:ptCount val="16"/>
                <c:pt idx="0">
                  <c:v>1</c:v>
                </c:pt>
                <c:pt idx="1">
                  <c:v>0.94339622641509424</c:v>
                </c:pt>
                <c:pt idx="2">
                  <c:v>0.88999644001423983</c:v>
                </c:pt>
                <c:pt idx="3">
                  <c:v>0.8396192830323016</c:v>
                </c:pt>
                <c:pt idx="4">
                  <c:v>0.79209366323802044</c:v>
                </c:pt>
                <c:pt idx="5">
                  <c:v>0.74725817286605689</c:v>
                </c:pt>
                <c:pt idx="6">
                  <c:v>0.70496054043967626</c:v>
                </c:pt>
                <c:pt idx="7">
                  <c:v>0.66505711362233599</c:v>
                </c:pt>
                <c:pt idx="8">
                  <c:v>0.62741237134182648</c:v>
                </c:pt>
                <c:pt idx="9">
                  <c:v>0.59189846353002495</c:v>
                </c:pt>
                <c:pt idx="10">
                  <c:v>0.55839477691511785</c:v>
                </c:pt>
                <c:pt idx="11">
                  <c:v>0.4969693635770005</c:v>
                </c:pt>
                <c:pt idx="12">
                  <c:v>0.44230096437967292</c:v>
                </c:pt>
                <c:pt idx="13">
                  <c:v>0.39364628371277405</c:v>
                </c:pt>
                <c:pt idx="14">
                  <c:v>0.35034379112920433</c:v>
                </c:pt>
                <c:pt idx="15">
                  <c:v>0.31180472688608429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Diskontierungsfaktoren!$E$3</c:f>
              <c:strCache>
                <c:ptCount val="1"/>
                <c:pt idx="0">
                  <c:v>8%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Diskontierungsfaktoren!$A$4:$A$19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Diskontierungsfaktoren!$E$4:$E$19</c:f>
              <c:numCache>
                <c:formatCode>General</c:formatCode>
                <c:ptCount val="16"/>
                <c:pt idx="0">
                  <c:v>1</c:v>
                </c:pt>
                <c:pt idx="1">
                  <c:v>0.92592592592592582</c:v>
                </c:pt>
                <c:pt idx="2">
                  <c:v>0.85733882030178321</c:v>
                </c:pt>
                <c:pt idx="3">
                  <c:v>0.79383224102016958</c:v>
                </c:pt>
                <c:pt idx="4">
                  <c:v>0.73502985279645328</c:v>
                </c:pt>
                <c:pt idx="5">
                  <c:v>0.68058319703375303</c:v>
                </c:pt>
                <c:pt idx="6">
                  <c:v>0.63016962688310452</c:v>
                </c:pt>
                <c:pt idx="7">
                  <c:v>0.58349039526213387</c:v>
                </c:pt>
                <c:pt idx="8">
                  <c:v>0.54026888450197574</c:v>
                </c:pt>
                <c:pt idx="9">
                  <c:v>0.50024896713145905</c:v>
                </c:pt>
                <c:pt idx="10">
                  <c:v>0.46319348808468425</c:v>
                </c:pt>
                <c:pt idx="11">
                  <c:v>0.39711375864599124</c:v>
                </c:pt>
                <c:pt idx="12">
                  <c:v>0.34046104136316119</c:v>
                </c:pt>
                <c:pt idx="13">
                  <c:v>0.29189046756100923</c:v>
                </c:pt>
                <c:pt idx="14">
                  <c:v>0.25024902911609154</c:v>
                </c:pt>
                <c:pt idx="15">
                  <c:v>0.21454820740405653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Diskontierungsfaktoren!$F$3</c:f>
              <c:strCache>
                <c:ptCount val="1"/>
                <c:pt idx="0">
                  <c:v>10%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Diskontierungsfaktoren!$A$4:$A$19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Diskontierungsfaktoren!$F$4:$F$19</c:f>
              <c:numCache>
                <c:formatCode>General</c:formatCode>
                <c:ptCount val="16"/>
                <c:pt idx="0">
                  <c:v>1</c:v>
                </c:pt>
                <c:pt idx="1">
                  <c:v>0.90909090909090906</c:v>
                </c:pt>
                <c:pt idx="2">
                  <c:v>0.82644628099173545</c:v>
                </c:pt>
                <c:pt idx="3">
                  <c:v>0.75131480090157754</c:v>
                </c:pt>
                <c:pt idx="4">
                  <c:v>0.68301345536507052</c:v>
                </c:pt>
                <c:pt idx="5">
                  <c:v>0.62092132305915493</c:v>
                </c:pt>
                <c:pt idx="6">
                  <c:v>0.56447393005377722</c:v>
                </c:pt>
                <c:pt idx="7">
                  <c:v>0.51315811823070645</c:v>
                </c:pt>
                <c:pt idx="8">
                  <c:v>0.46650738020973315</c:v>
                </c:pt>
                <c:pt idx="9">
                  <c:v>0.42409761837248466</c:v>
                </c:pt>
                <c:pt idx="10">
                  <c:v>0.38554328942953148</c:v>
                </c:pt>
                <c:pt idx="11">
                  <c:v>0.31863081771035656</c:v>
                </c:pt>
                <c:pt idx="12">
                  <c:v>0.26333125430607973</c:v>
                </c:pt>
                <c:pt idx="13">
                  <c:v>0.21762913579014853</c:v>
                </c:pt>
                <c:pt idx="14">
                  <c:v>0.17985878990921364</c:v>
                </c:pt>
                <c:pt idx="15">
                  <c:v>0.14864362802414349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Diskontierungsfaktoren!$G$3</c:f>
              <c:strCache>
                <c:ptCount val="1"/>
                <c:pt idx="0">
                  <c:v>12%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Diskontierungsfaktoren!$A$4:$A$19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Diskontierungsfaktoren!$G$4:$G$19</c:f>
              <c:numCache>
                <c:formatCode>General</c:formatCode>
                <c:ptCount val="16"/>
                <c:pt idx="0">
                  <c:v>1</c:v>
                </c:pt>
                <c:pt idx="1">
                  <c:v>0.89285714285714279</c:v>
                </c:pt>
                <c:pt idx="2">
                  <c:v>0.79719387755102034</c:v>
                </c:pt>
                <c:pt idx="3">
                  <c:v>0.71178024781341087</c:v>
                </c:pt>
                <c:pt idx="4">
                  <c:v>0.63551807840483121</c:v>
                </c:pt>
                <c:pt idx="5">
                  <c:v>0.56742685571859919</c:v>
                </c:pt>
                <c:pt idx="6">
                  <c:v>0.50663112117732068</c:v>
                </c:pt>
                <c:pt idx="7">
                  <c:v>0.45234921533689343</c:v>
                </c:pt>
                <c:pt idx="8">
                  <c:v>0.4038832279793691</c:v>
                </c:pt>
                <c:pt idx="9">
                  <c:v>0.36061002498157957</c:v>
                </c:pt>
                <c:pt idx="10">
                  <c:v>0.32197323659069599</c:v>
                </c:pt>
                <c:pt idx="11">
                  <c:v>0.25667509294538904</c:v>
                </c:pt>
                <c:pt idx="12">
                  <c:v>0.20461981261590317</c:v>
                </c:pt>
                <c:pt idx="13">
                  <c:v>0.16312166184303503</c:v>
                </c:pt>
                <c:pt idx="14">
                  <c:v>0.13003959011721541</c:v>
                </c:pt>
                <c:pt idx="15">
                  <c:v>0.1036667650806883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00832"/>
        <c:axId val="122216448"/>
      </c:scatterChart>
      <c:valAx>
        <c:axId val="193600832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3979595802371455"/>
              <c:y val="0.91897750260017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216448"/>
        <c:crosses val="autoZero"/>
        <c:crossBetween val="midCat"/>
      </c:valAx>
      <c:valAx>
        <c:axId val="1222164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Zinssatz</a:t>
                </a:r>
              </a:p>
            </c:rich>
          </c:tx>
          <c:layout>
            <c:manualLayout>
              <c:xMode val="edge"/>
              <c:yMode val="edge"/>
              <c:x val="0.86326616636057718"/>
              <c:y val="0.2835823847930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600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02125619943414"/>
          <c:y val="0.37100251845111615"/>
          <c:w val="0.13265319341238183"/>
          <c:h val="0.27078919450167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0</xdr:rowOff>
    </xdr:from>
    <xdr:to>
      <xdr:col>6</xdr:col>
      <xdr:colOff>552450</xdr:colOff>
      <xdr:row>10</xdr:row>
      <xdr:rowOff>114300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12</xdr:row>
          <xdr:rowOff>66675</xdr:rowOff>
        </xdr:from>
        <xdr:to>
          <xdr:col>6</xdr:col>
          <xdr:colOff>742950</xdr:colOff>
          <xdr:row>22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0</xdr:rowOff>
    </xdr:from>
    <xdr:to>
      <xdr:col>5</xdr:col>
      <xdr:colOff>285750</xdr:colOff>
      <xdr:row>12</xdr:row>
      <xdr:rowOff>85725</xdr:rowOff>
    </xdr:to>
    <xdr:graphicFrame macro="">
      <xdr:nvGraphicFramePr>
        <xdr:cNvPr id="204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0</xdr:rowOff>
    </xdr:from>
    <xdr:to>
      <xdr:col>7</xdr:col>
      <xdr:colOff>266700</xdr:colOff>
      <xdr:row>15</xdr:row>
      <xdr:rowOff>57150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0</xdr:rowOff>
    </xdr:from>
    <xdr:to>
      <xdr:col>12</xdr:col>
      <xdr:colOff>123825</xdr:colOff>
      <xdr:row>16</xdr:row>
      <xdr:rowOff>133350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0</xdr:row>
      <xdr:rowOff>9525</xdr:rowOff>
    </xdr:from>
    <xdr:to>
      <xdr:col>7</xdr:col>
      <xdr:colOff>571500</xdr:colOff>
      <xdr:row>16</xdr:row>
      <xdr:rowOff>133350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8</xdr:row>
      <xdr:rowOff>57150</xdr:rowOff>
    </xdr:from>
    <xdr:to>
      <xdr:col>5</xdr:col>
      <xdr:colOff>704850</xdr:colOff>
      <xdr:row>21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428625</xdr:rowOff>
    </xdr:from>
    <xdr:to>
      <xdr:col>13</xdr:col>
      <xdr:colOff>133350</xdr:colOff>
      <xdr:row>27</xdr:row>
      <xdr:rowOff>57150</xdr:rowOff>
    </xdr:to>
    <xdr:graphicFrame macro="">
      <xdr:nvGraphicFramePr>
        <xdr:cNvPr id="921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333375</xdr:colOff>
          <xdr:row>9</xdr:row>
          <xdr:rowOff>142875</xdr:rowOff>
        </xdr:from>
        <xdr:to>
          <xdr:col>10</xdr:col>
          <xdr:colOff>285750</xdr:colOff>
          <xdr:row>12</xdr:row>
          <xdr:rowOff>47625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12" sqref="A12"/>
    </sheetView>
  </sheetViews>
  <sheetFormatPr baseColWidth="10" defaultRowHeight="12.75" x14ac:dyDescent="0.2"/>
  <cols>
    <col min="1" max="1" width="113.5703125" style="261" customWidth="1"/>
    <col min="2" max="2" width="9.7109375" style="261" customWidth="1"/>
    <col min="3" max="16384" width="11.42578125" style="261"/>
  </cols>
  <sheetData>
    <row r="1" spans="1:2" ht="15.75" x14ac:dyDescent="0.25">
      <c r="A1" s="271"/>
      <c r="B1" s="272"/>
    </row>
    <row r="2" spans="1:2" ht="15.75" x14ac:dyDescent="0.25">
      <c r="A2" s="273" t="s">
        <v>261</v>
      </c>
      <c r="B2" s="272"/>
    </row>
    <row r="3" spans="1:2" x14ac:dyDescent="0.2">
      <c r="A3" s="272"/>
      <c r="B3" s="272"/>
    </row>
    <row r="4" spans="1:2" x14ac:dyDescent="0.2">
      <c r="A4" s="274"/>
      <c r="B4" s="272"/>
    </row>
    <row r="5" spans="1:2" ht="23.25" x14ac:dyDescent="0.35">
      <c r="A5" s="275" t="s">
        <v>262</v>
      </c>
      <c r="B5" s="272"/>
    </row>
    <row r="6" spans="1:2" x14ac:dyDescent="0.2">
      <c r="A6" s="276"/>
      <c r="B6" s="272"/>
    </row>
    <row r="7" spans="1:2" x14ac:dyDescent="0.2">
      <c r="A7" s="272"/>
      <c r="B7" s="272"/>
    </row>
    <row r="8" spans="1:2" x14ac:dyDescent="0.2">
      <c r="A8" s="272"/>
      <c r="B8" s="272"/>
    </row>
    <row r="9" spans="1:2" x14ac:dyDescent="0.2">
      <c r="A9" s="277" t="s">
        <v>270</v>
      </c>
      <c r="B9" s="272"/>
    </row>
    <row r="10" spans="1:2" x14ac:dyDescent="0.2">
      <c r="A10" s="277" t="s">
        <v>271</v>
      </c>
      <c r="B10" s="272"/>
    </row>
    <row r="11" spans="1:2" x14ac:dyDescent="0.2">
      <c r="A11" s="277" t="s">
        <v>273</v>
      </c>
      <c r="B11" s="272"/>
    </row>
    <row r="12" spans="1:2" x14ac:dyDescent="0.2">
      <c r="A12" s="278" t="s">
        <v>272</v>
      </c>
      <c r="B12" s="272"/>
    </row>
    <row r="13" spans="1:2" x14ac:dyDescent="0.2">
      <c r="A13" s="272"/>
      <c r="B13" s="272"/>
    </row>
    <row r="14" spans="1:2" x14ac:dyDescent="0.2">
      <c r="A14" s="272"/>
      <c r="B14" s="272"/>
    </row>
    <row r="15" spans="1:2" x14ac:dyDescent="0.2">
      <c r="A15" s="278" t="s">
        <v>257</v>
      </c>
      <c r="B15" s="272"/>
    </row>
    <row r="16" spans="1:2" x14ac:dyDescent="0.2">
      <c r="A16" s="272" t="s">
        <v>258</v>
      </c>
      <c r="B16" s="272"/>
    </row>
    <row r="17" spans="1:2" x14ac:dyDescent="0.2">
      <c r="A17" s="272"/>
      <c r="B17" s="272"/>
    </row>
    <row r="18" spans="1:2" x14ac:dyDescent="0.2">
      <c r="A18" s="272" t="s">
        <v>256</v>
      </c>
      <c r="B18" s="272"/>
    </row>
    <row r="19" spans="1:2" x14ac:dyDescent="0.2">
      <c r="A19" s="272"/>
      <c r="B19" s="272"/>
    </row>
    <row r="20" spans="1:2" x14ac:dyDescent="0.2">
      <c r="A20" s="278" t="s">
        <v>260</v>
      </c>
      <c r="B20" s="272"/>
    </row>
    <row r="21" spans="1:2" x14ac:dyDescent="0.2">
      <c r="A21" s="272"/>
      <c r="B21" s="272"/>
    </row>
  </sheetData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22"/>
  <sheetViews>
    <sheetView showGridLines="0" workbookViewId="0">
      <selection activeCell="B2" sqref="B2"/>
    </sheetView>
  </sheetViews>
  <sheetFormatPr baseColWidth="10" defaultRowHeight="12.75" x14ac:dyDescent="0.2"/>
  <sheetData>
    <row r="1" spans="1:7" ht="15.75" x14ac:dyDescent="0.25">
      <c r="A1" s="166" t="s">
        <v>177</v>
      </c>
      <c r="B1" s="19"/>
      <c r="C1" s="19"/>
      <c r="D1" s="19"/>
      <c r="E1" s="19"/>
      <c r="F1" s="19"/>
      <c r="G1" s="19"/>
    </row>
    <row r="2" spans="1:7" x14ac:dyDescent="0.2">
      <c r="A2" s="64" t="s">
        <v>75</v>
      </c>
      <c r="B2" s="33">
        <v>1.6</v>
      </c>
      <c r="C2" s="19"/>
      <c r="D2" s="64" t="s">
        <v>76</v>
      </c>
      <c r="E2" s="64" t="s">
        <v>77</v>
      </c>
      <c r="F2" s="64" t="s">
        <v>78</v>
      </c>
      <c r="G2" s="19"/>
    </row>
    <row r="3" spans="1:7" x14ac:dyDescent="0.2">
      <c r="A3" s="64" t="s">
        <v>79</v>
      </c>
      <c r="B3" s="33">
        <v>1</v>
      </c>
      <c r="C3" s="19"/>
      <c r="D3" s="18">
        <v>1</v>
      </c>
      <c r="E3" s="18">
        <f>B2</f>
        <v>1.6</v>
      </c>
      <c r="F3" s="18">
        <f>8/E3+8/E3^2+8/E3^3+8/E3^4+108/E3^5-$B$4</f>
        <v>-80.4014892578125</v>
      </c>
      <c r="G3" s="19"/>
    </row>
    <row r="4" spans="1:7" x14ac:dyDescent="0.2">
      <c r="A4" s="64" t="s">
        <v>80</v>
      </c>
      <c r="B4" s="33">
        <v>102</v>
      </c>
      <c r="C4" s="19"/>
      <c r="D4" s="18">
        <v>2</v>
      </c>
      <c r="E4" s="18">
        <f>B3</f>
        <v>1</v>
      </c>
      <c r="F4" s="18">
        <f>8/E4+8/E4^2+8/E4^3+8/E4^4+108/E4^5-$B$4</f>
        <v>38</v>
      </c>
      <c r="G4" s="19"/>
    </row>
    <row r="5" spans="1:7" x14ac:dyDescent="0.2">
      <c r="A5" s="19"/>
      <c r="B5" s="19"/>
      <c r="C5" s="19"/>
      <c r="D5" s="18">
        <v>3</v>
      </c>
      <c r="E5" s="18">
        <f>E4+(E3-E4)*F4/(F4-F3)</f>
        <v>1.1925651454463913</v>
      </c>
      <c r="F5" s="18">
        <f t="shared" ref="F5:F17" si="0">8/E5+8/E5^2+8/E5^3+8/E5^4+108/E5^5-$B$4</f>
        <v>-36.222142888456489</v>
      </c>
      <c r="G5" s="19"/>
    </row>
    <row r="6" spans="1:7" x14ac:dyDescent="0.2">
      <c r="A6" s="19"/>
      <c r="B6" s="19"/>
      <c r="C6" s="19"/>
      <c r="D6" s="18">
        <v>4</v>
      </c>
      <c r="E6" s="18">
        <f t="shared" ref="E6:E17" si="1">E5+(E4-E5)*F5/(F5-F4)</f>
        <v>1.0985888475082135</v>
      </c>
      <c r="F6" s="18">
        <f t="shared" si="0"/>
        <v>-9.0721126757016748</v>
      </c>
      <c r="G6" s="19"/>
    </row>
    <row r="7" spans="1:7" x14ac:dyDescent="0.2">
      <c r="A7" s="193" t="s">
        <v>249</v>
      </c>
      <c r="B7" s="19"/>
      <c r="C7" s="19"/>
      <c r="D7" s="18">
        <v>5</v>
      </c>
      <c r="E7" s="18">
        <f t="shared" si="1"/>
        <v>1.0671869095707767</v>
      </c>
      <c r="F7" s="18">
        <f t="shared" si="0"/>
        <v>3.2934293062765789</v>
      </c>
      <c r="G7" s="19"/>
    </row>
    <row r="8" spans="1:7" x14ac:dyDescent="0.2">
      <c r="A8" s="220" t="s">
        <v>250</v>
      </c>
      <c r="B8" s="19"/>
      <c r="C8" s="19"/>
      <c r="D8" s="18">
        <v>6</v>
      </c>
      <c r="E8" s="18">
        <f t="shared" si="1"/>
        <v>1.0755504784970524</v>
      </c>
      <c r="F8" s="18">
        <f t="shared" si="0"/>
        <v>-0.20240425282131014</v>
      </c>
      <c r="G8" s="19"/>
    </row>
    <row r="9" spans="1:7" x14ac:dyDescent="0.2">
      <c r="A9" s="220" t="s">
        <v>251</v>
      </c>
      <c r="B9" s="19"/>
      <c r="C9" s="19"/>
      <c r="D9" s="18">
        <v>7</v>
      </c>
      <c r="E9" s="18">
        <f t="shared" si="1"/>
        <v>1.0750662386467207</v>
      </c>
      <c r="F9" s="18">
        <f t="shared" si="0"/>
        <v>-4.2081346781515094E-3</v>
      </c>
      <c r="G9" s="19"/>
    </row>
    <row r="10" spans="1:7" x14ac:dyDescent="0.2">
      <c r="A10" s="220"/>
      <c r="B10" s="19"/>
      <c r="C10" s="19"/>
      <c r="D10" s="18">
        <v>8</v>
      </c>
      <c r="E10" s="18">
        <f t="shared" si="1"/>
        <v>1.0750559571814438</v>
      </c>
      <c r="F10" s="18">
        <f t="shared" si="0"/>
        <v>5.5145580120097293E-6</v>
      </c>
      <c r="G10" s="19"/>
    </row>
    <row r="11" spans="1:7" x14ac:dyDescent="0.2">
      <c r="A11" s="19"/>
      <c r="B11" s="19"/>
      <c r="C11" s="19"/>
      <c r="D11" s="18">
        <v>9</v>
      </c>
      <c r="E11" s="18">
        <f t="shared" si="1"/>
        <v>1.0750559706371763</v>
      </c>
      <c r="F11" s="18">
        <f t="shared" si="0"/>
        <v>-1.5003820408310276E-10</v>
      </c>
      <c r="G11" s="19"/>
    </row>
    <row r="12" spans="1:7" x14ac:dyDescent="0.2">
      <c r="A12" s="19"/>
      <c r="B12" s="19"/>
      <c r="C12" s="19"/>
      <c r="D12" s="18">
        <v>10</v>
      </c>
      <c r="E12" s="18">
        <f t="shared" si="1"/>
        <v>1.0750559706368101</v>
      </c>
      <c r="F12" s="18">
        <f t="shared" si="0"/>
        <v>0</v>
      </c>
      <c r="G12" s="19"/>
    </row>
    <row r="13" spans="1:7" x14ac:dyDescent="0.2">
      <c r="A13" s="19"/>
      <c r="B13" s="19"/>
      <c r="C13" s="19"/>
      <c r="D13" s="18">
        <v>11</v>
      </c>
      <c r="E13" s="18">
        <f t="shared" si="1"/>
        <v>1.0750559706368101</v>
      </c>
      <c r="F13" s="18">
        <f t="shared" si="0"/>
        <v>0</v>
      </c>
      <c r="G13" s="19"/>
    </row>
    <row r="14" spans="1:7" x14ac:dyDescent="0.2">
      <c r="A14" s="19"/>
      <c r="B14" s="19"/>
      <c r="C14" s="19"/>
      <c r="D14" s="18">
        <v>12</v>
      </c>
      <c r="E14" s="18" t="e">
        <f t="shared" si="1"/>
        <v>#DIV/0!</v>
      </c>
      <c r="F14" s="18" t="e">
        <f t="shared" si="0"/>
        <v>#DIV/0!</v>
      </c>
      <c r="G14" s="19"/>
    </row>
    <row r="15" spans="1:7" x14ac:dyDescent="0.2">
      <c r="A15" s="19"/>
      <c r="B15" s="19"/>
      <c r="C15" s="19"/>
      <c r="D15" s="18">
        <v>13</v>
      </c>
      <c r="E15" s="18" t="e">
        <f t="shared" si="1"/>
        <v>#DIV/0!</v>
      </c>
      <c r="F15" s="18" t="e">
        <f t="shared" si="0"/>
        <v>#DIV/0!</v>
      </c>
      <c r="G15" s="19"/>
    </row>
    <row r="16" spans="1:7" x14ac:dyDescent="0.2">
      <c r="A16" s="19"/>
      <c r="B16" s="19"/>
      <c r="C16" s="19"/>
      <c r="D16" s="18">
        <v>14</v>
      </c>
      <c r="E16" s="18" t="e">
        <f t="shared" si="1"/>
        <v>#DIV/0!</v>
      </c>
      <c r="F16" s="18" t="e">
        <f t="shared" si="0"/>
        <v>#DIV/0!</v>
      </c>
      <c r="G16" s="19"/>
    </row>
    <row r="17" spans="1:7" x14ac:dyDescent="0.2">
      <c r="A17" s="19"/>
      <c r="B17" s="19"/>
      <c r="C17" s="19"/>
      <c r="D17" s="18">
        <v>15</v>
      </c>
      <c r="E17" s="18" t="e">
        <f t="shared" si="1"/>
        <v>#DIV/0!</v>
      </c>
      <c r="F17" s="18" t="e">
        <f t="shared" si="0"/>
        <v>#DIV/0!</v>
      </c>
      <c r="G17" s="19"/>
    </row>
    <row r="18" spans="1:7" x14ac:dyDescent="0.2">
      <c r="A18" s="19"/>
      <c r="B18" s="19"/>
      <c r="C18" s="19"/>
      <c r="D18" s="19"/>
      <c r="E18" s="19"/>
      <c r="F18" s="19"/>
      <c r="G18" s="19"/>
    </row>
    <row r="19" spans="1:7" x14ac:dyDescent="0.2">
      <c r="A19" s="19"/>
      <c r="B19" s="19"/>
      <c r="C19" s="19"/>
      <c r="D19" s="220" t="s">
        <v>254</v>
      </c>
      <c r="E19" s="19"/>
      <c r="F19" s="19"/>
      <c r="G19" s="19"/>
    </row>
    <row r="20" spans="1:7" x14ac:dyDescent="0.2">
      <c r="A20" s="19"/>
      <c r="B20" s="19"/>
      <c r="C20" s="19"/>
      <c r="D20" s="220" t="s">
        <v>252</v>
      </c>
      <c r="E20" s="19"/>
      <c r="F20" s="19"/>
      <c r="G20" s="19"/>
    </row>
    <row r="21" spans="1:7" x14ac:dyDescent="0.2">
      <c r="A21" s="19"/>
      <c r="B21" s="19"/>
      <c r="C21" s="19"/>
      <c r="D21" s="220" t="s">
        <v>253</v>
      </c>
      <c r="E21" s="19"/>
      <c r="F21" s="19"/>
      <c r="G21" s="19"/>
    </row>
    <row r="22" spans="1:7" x14ac:dyDescent="0.2">
      <c r="A22" s="19"/>
      <c r="B22" s="19"/>
      <c r="C22" s="19"/>
      <c r="D22" s="19"/>
      <c r="E22" s="19"/>
      <c r="F22" s="19"/>
      <c r="G22" s="19"/>
    </row>
  </sheetData>
  <phoneticPr fontId="3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C27"/>
  <sheetViews>
    <sheetView workbookViewId="0">
      <selection activeCell="B3" sqref="B3"/>
    </sheetView>
  </sheetViews>
  <sheetFormatPr baseColWidth="10" defaultRowHeight="12.75" x14ac:dyDescent="0.2"/>
  <cols>
    <col min="1" max="1" width="29.85546875" style="6" customWidth="1"/>
    <col min="2" max="2" width="13" style="6" customWidth="1"/>
    <col min="3" max="16384" width="11.42578125" style="6"/>
  </cols>
  <sheetData>
    <row r="1" spans="1:3" x14ac:dyDescent="0.2">
      <c r="A1" s="55" t="s">
        <v>81</v>
      </c>
      <c r="B1" s="56"/>
      <c r="C1" s="56"/>
    </row>
    <row r="2" spans="1:3" x14ac:dyDescent="0.2">
      <c r="A2" s="56"/>
      <c r="B2" s="56"/>
      <c r="C2" s="56"/>
    </row>
    <row r="3" spans="1:3" x14ac:dyDescent="0.2">
      <c r="A3" s="123" t="s">
        <v>82</v>
      </c>
      <c r="B3" s="124">
        <v>100</v>
      </c>
      <c r="C3" s="56"/>
    </row>
    <row r="4" spans="1:3" x14ac:dyDescent="0.2">
      <c r="A4" s="123" t="s">
        <v>83</v>
      </c>
      <c r="B4" s="124">
        <v>115</v>
      </c>
      <c r="C4" s="56"/>
    </row>
    <row r="5" spans="1:3" x14ac:dyDescent="0.2">
      <c r="A5" s="123" t="s">
        <v>84</v>
      </c>
      <c r="B5" s="125">
        <f>32/12</f>
        <v>2.6666666666666665</v>
      </c>
      <c r="C5" s="56"/>
    </row>
    <row r="6" spans="1:3" x14ac:dyDescent="0.2">
      <c r="A6" s="56"/>
      <c r="B6" s="56"/>
      <c r="C6" s="56"/>
    </row>
    <row r="7" spans="1:3" x14ac:dyDescent="0.2">
      <c r="A7" s="55" t="s">
        <v>27</v>
      </c>
      <c r="B7" s="56"/>
      <c r="C7" s="56"/>
    </row>
    <row r="8" spans="1:3" x14ac:dyDescent="0.2">
      <c r="A8" s="121" t="s">
        <v>85</v>
      </c>
      <c r="B8" s="122">
        <f>B5-B9</f>
        <v>0.66666666666666652</v>
      </c>
      <c r="C8" s="56"/>
    </row>
    <row r="9" spans="1:3" x14ac:dyDescent="0.2">
      <c r="A9" s="121" t="s">
        <v>86</v>
      </c>
      <c r="B9" s="121">
        <f>INT(B5)</f>
        <v>2</v>
      </c>
      <c r="C9" s="56"/>
    </row>
    <row r="10" spans="1:3" x14ac:dyDescent="0.2">
      <c r="A10" s="56"/>
      <c r="B10" s="56"/>
      <c r="C10" s="56"/>
    </row>
    <row r="11" spans="1:3" x14ac:dyDescent="0.2">
      <c r="A11" s="118" t="s">
        <v>87</v>
      </c>
      <c r="B11" s="207">
        <f>B27</f>
        <v>5.3689105021971349E-2</v>
      </c>
      <c r="C11" s="56"/>
    </row>
    <row r="12" spans="1:3" x14ac:dyDescent="0.2">
      <c r="A12" s="120" t="s">
        <v>211</v>
      </c>
      <c r="B12" s="119">
        <f>((B4/B3)^(1/B5))-1</f>
        <v>5.3808482700130167E-2</v>
      </c>
      <c r="C12" s="56"/>
    </row>
    <row r="13" spans="1:3" x14ac:dyDescent="0.2">
      <c r="A13" s="56"/>
      <c r="B13" s="56"/>
      <c r="C13" s="56"/>
    </row>
    <row r="15" spans="1:3" x14ac:dyDescent="0.2">
      <c r="A15" s="54"/>
    </row>
    <row r="16" spans="1:3" x14ac:dyDescent="0.2">
      <c r="A16" s="54" t="s">
        <v>88</v>
      </c>
    </row>
    <row r="17" spans="1:3" x14ac:dyDescent="0.2">
      <c r="A17" s="7" t="s">
        <v>89</v>
      </c>
    </row>
    <row r="18" spans="1:3" x14ac:dyDescent="0.2">
      <c r="A18" s="8">
        <v>1</v>
      </c>
      <c r="B18" s="9">
        <f>1%</f>
        <v>0.01</v>
      </c>
      <c r="C18" s="8">
        <f>$B$3*(1+$B$8*B18)*(1+B18)^$B$9</f>
        <v>102.69006666666665</v>
      </c>
    </row>
    <row r="19" spans="1:3" x14ac:dyDescent="0.2">
      <c r="A19" s="8">
        <v>2</v>
      </c>
      <c r="B19" s="9">
        <v>0.1</v>
      </c>
      <c r="C19" s="8">
        <f t="shared" ref="C19:C27" si="0">$B$3*(1+$B$8*B19)*(1+B19)^$B$9</f>
        <v>129.06666666666669</v>
      </c>
    </row>
    <row r="20" spans="1:3" x14ac:dyDescent="0.2">
      <c r="A20" s="8">
        <v>3</v>
      </c>
      <c r="B20" s="10">
        <f t="shared" ref="B20:B27" si="1">IF(ABS(C18-C19)&lt;0.0000001,B19,B19+(B18-B19)*(C19-$B$4)/(C19-C18))</f>
        <v>5.2002911671709E-2</v>
      </c>
      <c r="C20" s="8">
        <f t="shared" si="0"/>
        <v>114.50782254572091</v>
      </c>
    </row>
    <row r="21" spans="1:3" x14ac:dyDescent="0.2">
      <c r="A21" s="8">
        <v>4</v>
      </c>
      <c r="B21" s="10">
        <f t="shared" si="1"/>
        <v>5.3625505096707639E-2</v>
      </c>
      <c r="C21" s="8">
        <f t="shared" si="0"/>
        <v>114.98141085079246</v>
      </c>
    </row>
    <row r="22" spans="1:3" x14ac:dyDescent="0.2">
      <c r="A22" s="8">
        <v>5</v>
      </c>
      <c r="B22" s="10">
        <f t="shared" si="1"/>
        <v>5.3689194657783101E-2</v>
      </c>
      <c r="C22" s="8">
        <f t="shared" si="0"/>
        <v>115.0000262003782</v>
      </c>
    </row>
    <row r="23" spans="1:3" x14ac:dyDescent="0.2">
      <c r="A23" s="8">
        <v>6</v>
      </c>
      <c r="B23" s="10">
        <f t="shared" si="1"/>
        <v>5.3689105017210949E-2</v>
      </c>
      <c r="C23" s="8">
        <f t="shared" si="0"/>
        <v>114.99999999860854</v>
      </c>
    </row>
    <row r="24" spans="1:3" x14ac:dyDescent="0.2">
      <c r="A24" s="8">
        <v>7</v>
      </c>
      <c r="B24" s="10">
        <f t="shared" si="1"/>
        <v>5.3689105021971349E-2</v>
      </c>
      <c r="C24" s="8">
        <f t="shared" si="0"/>
        <v>115.00000000000001</v>
      </c>
    </row>
    <row r="25" spans="1:3" x14ac:dyDescent="0.2">
      <c r="A25" s="8">
        <v>8</v>
      </c>
      <c r="B25" s="10">
        <f t="shared" si="1"/>
        <v>5.3689105021971349E-2</v>
      </c>
      <c r="C25" s="8">
        <f t="shared" si="0"/>
        <v>115.00000000000001</v>
      </c>
    </row>
    <row r="26" spans="1:3" x14ac:dyDescent="0.2">
      <c r="A26" s="8">
        <v>9</v>
      </c>
      <c r="B26" s="10">
        <f t="shared" si="1"/>
        <v>5.3689105021971349E-2</v>
      </c>
      <c r="C26" s="8">
        <f t="shared" si="0"/>
        <v>115.00000000000001</v>
      </c>
    </row>
    <row r="27" spans="1:3" x14ac:dyDescent="0.2">
      <c r="A27" s="8">
        <v>10</v>
      </c>
      <c r="B27" s="10">
        <f t="shared" si="1"/>
        <v>5.3689105021971349E-2</v>
      </c>
      <c r="C27" s="8">
        <f t="shared" si="0"/>
        <v>115.00000000000001</v>
      </c>
    </row>
  </sheetData>
  <phoneticPr fontId="3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35"/>
  <sheetViews>
    <sheetView showGridLines="0" workbookViewId="0">
      <selection activeCell="B2" sqref="B2"/>
    </sheetView>
  </sheetViews>
  <sheetFormatPr baseColWidth="10" defaultRowHeight="12.75" x14ac:dyDescent="0.2"/>
  <cols>
    <col min="1" max="1" width="20.85546875" style="11" customWidth="1"/>
    <col min="2" max="2" width="11.42578125" style="11"/>
    <col min="3" max="3" width="12" style="11" customWidth="1"/>
    <col min="4" max="4" width="22.140625" style="11" customWidth="1"/>
    <col min="5" max="16384" width="11.42578125" style="11"/>
  </cols>
  <sheetData>
    <row r="1" spans="1:6" x14ac:dyDescent="0.2">
      <c r="A1" s="84" t="s">
        <v>90</v>
      </c>
      <c r="B1" s="85"/>
      <c r="C1" s="85"/>
      <c r="D1" s="210" t="s">
        <v>90</v>
      </c>
      <c r="E1" s="85"/>
      <c r="F1" s="85"/>
    </row>
    <row r="2" spans="1:6" x14ac:dyDescent="0.2">
      <c r="A2" s="86" t="s">
        <v>91</v>
      </c>
      <c r="B2" s="106">
        <v>200</v>
      </c>
      <c r="C2" s="85"/>
      <c r="D2" s="86" t="s">
        <v>91</v>
      </c>
      <c r="E2" s="106">
        <v>200</v>
      </c>
      <c r="F2" s="85"/>
    </row>
    <row r="3" spans="1:6" x14ac:dyDescent="0.2">
      <c r="A3" s="85"/>
      <c r="B3" s="85"/>
      <c r="C3" s="85"/>
      <c r="D3" s="85"/>
      <c r="E3" s="85"/>
      <c r="F3" s="85"/>
    </row>
    <row r="4" spans="1:6" ht="24.75" customHeight="1" x14ac:dyDescent="0.2">
      <c r="A4" s="87" t="s">
        <v>92</v>
      </c>
      <c r="B4" s="88" t="s">
        <v>93</v>
      </c>
      <c r="C4" s="85"/>
      <c r="D4" s="87" t="s">
        <v>92</v>
      </c>
      <c r="E4" s="88" t="s">
        <v>93</v>
      </c>
      <c r="F4" s="85"/>
    </row>
    <row r="5" spans="1:6" x14ac:dyDescent="0.2">
      <c r="A5" s="107">
        <f>3/12</f>
        <v>0.25</v>
      </c>
      <c r="B5" s="107">
        <v>80</v>
      </c>
      <c r="C5" s="85"/>
      <c r="D5" s="107">
        <f>3/12</f>
        <v>0.25</v>
      </c>
      <c r="E5" s="107">
        <v>80</v>
      </c>
      <c r="F5" s="85"/>
    </row>
    <row r="6" spans="1:6" x14ac:dyDescent="0.2">
      <c r="A6" s="107">
        <v>2.5</v>
      </c>
      <c r="B6" s="107">
        <v>140</v>
      </c>
      <c r="C6" s="85"/>
      <c r="D6" s="107">
        <v>2.5</v>
      </c>
      <c r="E6" s="107">
        <v>140</v>
      </c>
      <c r="F6" s="85"/>
    </row>
    <row r="7" spans="1:6" x14ac:dyDescent="0.2">
      <c r="A7" s="107"/>
      <c r="B7" s="107"/>
      <c r="C7" s="85"/>
      <c r="D7" s="85"/>
      <c r="E7" s="85"/>
      <c r="F7" s="85"/>
    </row>
    <row r="8" spans="1:6" x14ac:dyDescent="0.2">
      <c r="A8" s="107"/>
      <c r="B8" s="107"/>
      <c r="C8" s="85"/>
      <c r="D8" s="111" t="s">
        <v>94</v>
      </c>
      <c r="E8" s="85"/>
      <c r="F8" s="85"/>
    </row>
    <row r="9" spans="1:6" x14ac:dyDescent="0.2">
      <c r="A9" s="107"/>
      <c r="B9" s="107"/>
      <c r="C9" s="85"/>
      <c r="D9" s="142" t="s">
        <v>212</v>
      </c>
      <c r="E9" s="208">
        <f>D35</f>
        <v>5.9364113081413067E-2</v>
      </c>
      <c r="F9" s="85"/>
    </row>
    <row r="10" spans="1:6" x14ac:dyDescent="0.2">
      <c r="A10" s="107"/>
      <c r="B10" s="107"/>
      <c r="C10" s="85"/>
      <c r="D10" s="85"/>
      <c r="E10" s="85"/>
      <c r="F10" s="85"/>
    </row>
    <row r="11" spans="1:6" x14ac:dyDescent="0.2">
      <c r="A11" s="107"/>
      <c r="B11" s="107"/>
      <c r="C11" s="85"/>
      <c r="D11" s="85"/>
      <c r="E11" s="85"/>
      <c r="F11" s="85"/>
    </row>
    <row r="12" spans="1:6" x14ac:dyDescent="0.2">
      <c r="A12" s="107"/>
      <c r="B12" s="107"/>
      <c r="C12" s="85"/>
      <c r="D12" s="85"/>
      <c r="E12" s="85"/>
      <c r="F12" s="85"/>
    </row>
    <row r="13" spans="1:6" x14ac:dyDescent="0.2">
      <c r="A13" s="107"/>
      <c r="B13" s="107"/>
      <c r="C13" s="85"/>
      <c r="D13" s="85"/>
      <c r="E13" s="85"/>
      <c r="F13" s="85"/>
    </row>
    <row r="14" spans="1:6" x14ac:dyDescent="0.2">
      <c r="A14" s="107"/>
      <c r="B14" s="107"/>
      <c r="C14" s="85"/>
      <c r="D14" s="85"/>
      <c r="E14" s="85"/>
      <c r="F14" s="85"/>
    </row>
    <row r="15" spans="1:6" x14ac:dyDescent="0.2">
      <c r="A15" s="89" t="s">
        <v>94</v>
      </c>
      <c r="B15" s="89"/>
      <c r="C15" s="85"/>
      <c r="D15" s="85"/>
      <c r="E15" s="85"/>
      <c r="F15" s="85"/>
    </row>
    <row r="16" spans="1:6" s="116" customFormat="1" x14ac:dyDescent="0.2">
      <c r="A16" s="209" t="s">
        <v>213</v>
      </c>
      <c r="B16" s="208">
        <f>B35</f>
        <v>5.9555622039038664E-2</v>
      </c>
      <c r="C16" s="85"/>
      <c r="D16" s="85"/>
      <c r="E16" s="85"/>
      <c r="F16" s="85"/>
    </row>
    <row r="17" spans="1:6" s="116" customFormat="1" x14ac:dyDescent="0.2">
      <c r="A17" s="85"/>
      <c r="B17" s="85"/>
      <c r="C17" s="85"/>
      <c r="D17" s="85"/>
      <c r="E17" s="85"/>
      <c r="F17" s="85"/>
    </row>
    <row r="18" spans="1:6" s="116" customFormat="1" x14ac:dyDescent="0.2"/>
    <row r="19" spans="1:6" s="116" customFormat="1" x14ac:dyDescent="0.2"/>
    <row r="20" spans="1:6" s="116" customFormat="1" x14ac:dyDescent="0.2"/>
    <row r="21" spans="1:6" s="116" customFormat="1" x14ac:dyDescent="0.2"/>
    <row r="22" spans="1:6" s="116" customFormat="1" x14ac:dyDescent="0.2"/>
    <row r="23" spans="1:6" s="116" customFormat="1" x14ac:dyDescent="0.2"/>
    <row r="24" spans="1:6" x14ac:dyDescent="0.2">
      <c r="A24" s="160" t="s">
        <v>88</v>
      </c>
      <c r="B24" s="161"/>
      <c r="C24" s="155" t="s">
        <v>95</v>
      </c>
    </row>
    <row r="25" spans="1:6" x14ac:dyDescent="0.2">
      <c r="A25" s="162" t="s">
        <v>76</v>
      </c>
      <c r="B25" s="163" t="s">
        <v>37</v>
      </c>
      <c r="C25" s="164" t="s">
        <v>96</v>
      </c>
      <c r="D25" s="158" t="s">
        <v>97</v>
      </c>
      <c r="E25" s="159"/>
    </row>
    <row r="26" spans="1:6" x14ac:dyDescent="0.2">
      <c r="A26" s="12">
        <v>1</v>
      </c>
      <c r="B26" s="14">
        <v>0.01</v>
      </c>
      <c r="C26" s="15">
        <f t="shared" ref="C26:C35" si="0">$B$5/(1+B26)^$A$5+$B$6/(1+B26)^$A$6+$B$7/(1+B26)^$A$7+$B$8/(1+B26)^$A$8+$B$9/(1+B26)^$A$9+$B$10/(1+B26)^$A$10+$B$11/(1+B26)^$A$11+$B$12/(1+B26)^$A$12+$B$13/(1+B26)^$A$13+$B$14/(1+B26)^$A$14</f>
        <v>216.36158442114416</v>
      </c>
      <c r="D26" s="156">
        <v>0.01</v>
      </c>
      <c r="E26" s="157">
        <f>$E$2*(1+D26)^INT($D$6)*(1+($D$6-INT($D$6))*D26)-$E$6-$E$5*(1+($D$6-$D$5-INT($D$6-$D$5))*D26)*(1+D26)^(INT($D$6-$D$5))</f>
        <v>-16.771919999999994</v>
      </c>
    </row>
    <row r="27" spans="1:6" x14ac:dyDescent="0.2">
      <c r="A27" s="12">
        <v>2</v>
      </c>
      <c r="B27" s="14">
        <v>0.04</v>
      </c>
      <c r="C27" s="15">
        <f t="shared" si="0"/>
        <v>206.14369270993114</v>
      </c>
      <c r="D27" s="156">
        <v>0.04</v>
      </c>
      <c r="E27" s="157">
        <f t="shared" ref="E27:E35" si="1">$E$2*(1+D27)^INT($D$6)*(1+($D$6-INT($D$6))*D27)-$E$6-$E$5*(1+($D$6-$D$5-INT($D$6-$D$5))*D27)*(1+D27)^(INT($D$6-$D$5))</f>
        <v>-6.746879999999976</v>
      </c>
    </row>
    <row r="28" spans="1:6" x14ac:dyDescent="0.2">
      <c r="A28" s="12">
        <v>3</v>
      </c>
      <c r="B28" s="14">
        <f t="shared" ref="B28:B35" si="2">IF(ABS(C26-C27)&lt;0.0000001,B27,B27+(B26-B27)*(C27-$B$2)/(C27-C26))</f>
        <v>5.8038044100200581E-2</v>
      </c>
      <c r="C28" s="15">
        <f t="shared" si="0"/>
        <v>200.46314554436643</v>
      </c>
      <c r="D28" s="14">
        <f>IF(ABS(E26-E27)&lt;0.0000001,D27,D27+(D26-D27)*(E27)/(E27-E26))</f>
        <v>6.0190084029589794E-2</v>
      </c>
      <c r="E28" s="157">
        <f>$E$2*(1+D28)^INT($D$6)*(1+($D$6-INT($D$6))*D28)-$E$6-$E$5*(1+($D$6-$D$5-INT($D$6-$D$5))*D28)*(1+D28)^(INT($D$6-$D$5))</f>
        <v>0.29266858325659939</v>
      </c>
    </row>
    <row r="29" spans="1:6" x14ac:dyDescent="0.2">
      <c r="A29" s="12">
        <v>4</v>
      </c>
      <c r="B29" s="14">
        <f t="shared" si="2"/>
        <v>5.950871928528418E-2</v>
      </c>
      <c r="C29" s="15">
        <f t="shared" si="0"/>
        <v>200.01428072962858</v>
      </c>
      <c r="D29" s="14">
        <f t="shared" ref="D29:D35" si="3">IF(ABS(E27-E28)&lt;0.0000001,D28,D28+(D27-D28)*(E28)/(E28-E27))</f>
        <v>5.9350683147717027E-2</v>
      </c>
      <c r="E29" s="157">
        <f t="shared" si="1"/>
        <v>-4.7553479453341652E-3</v>
      </c>
    </row>
    <row r="30" spans="1:6" x14ac:dyDescent="0.2">
      <c r="A30" s="12">
        <v>5</v>
      </c>
      <c r="B30" s="14">
        <f t="shared" si="2"/>
        <v>5.9555509129353174E-2</v>
      </c>
      <c r="C30" s="15">
        <f t="shared" si="0"/>
        <v>200.00003437565704</v>
      </c>
      <c r="D30" s="14">
        <f t="shared" si="3"/>
        <v>5.9364103867572335E-2</v>
      </c>
      <c r="E30" s="157">
        <f t="shared" si="1"/>
        <v>-3.2625259507312876E-6</v>
      </c>
    </row>
    <row r="31" spans="1:6" x14ac:dyDescent="0.2">
      <c r="A31" s="12">
        <v>6</v>
      </c>
      <c r="B31" s="14">
        <f t="shared" si="2"/>
        <v>5.9555622030635545E-2</v>
      </c>
      <c r="C31" s="15">
        <f t="shared" si="0"/>
        <v>200.00000000255835</v>
      </c>
      <c r="D31" s="14">
        <f t="shared" si="3"/>
        <v>5.9364113081515887E-2</v>
      </c>
      <c r="E31" s="157">
        <f t="shared" si="1"/>
        <v>3.6408209780347534E-11</v>
      </c>
    </row>
    <row r="32" spans="1:6" x14ac:dyDescent="0.2">
      <c r="A32" s="12">
        <v>7</v>
      </c>
      <c r="B32" s="14">
        <f t="shared" si="2"/>
        <v>5.9555622039038664E-2</v>
      </c>
      <c r="C32" s="15">
        <f t="shared" si="0"/>
        <v>199.99999999999994</v>
      </c>
      <c r="D32" s="14">
        <f t="shared" si="3"/>
        <v>5.9364113081413067E-2</v>
      </c>
      <c r="E32" s="157">
        <f t="shared" si="1"/>
        <v>0</v>
      </c>
    </row>
    <row r="33" spans="1:5" x14ac:dyDescent="0.2">
      <c r="A33" s="12">
        <v>8</v>
      </c>
      <c r="B33" s="14">
        <f t="shared" si="2"/>
        <v>5.9555622039038664E-2</v>
      </c>
      <c r="C33" s="15">
        <f t="shared" si="0"/>
        <v>199.99999999999994</v>
      </c>
      <c r="D33" s="14">
        <f t="shared" si="3"/>
        <v>5.9364113081413067E-2</v>
      </c>
      <c r="E33" s="157">
        <f t="shared" si="1"/>
        <v>0</v>
      </c>
    </row>
    <row r="34" spans="1:5" x14ac:dyDescent="0.2">
      <c r="A34" s="12">
        <v>9</v>
      </c>
      <c r="B34" s="14">
        <f t="shared" si="2"/>
        <v>5.9555622039038664E-2</v>
      </c>
      <c r="C34" s="15">
        <f t="shared" si="0"/>
        <v>199.99999999999994</v>
      </c>
      <c r="D34" s="14">
        <f t="shared" si="3"/>
        <v>5.9364113081413067E-2</v>
      </c>
      <c r="E34" s="157">
        <f>$E$2*(1+D34)^INT($D$6)*(1+($D$6-INT($D$6))*D34)-$E$6-$E$5*(1+($D$6-$D$5-INT($D$6-$D$5))*D34)*(1+D34)^(INT($D$6-$D$5))</f>
        <v>0</v>
      </c>
    </row>
    <row r="35" spans="1:5" x14ac:dyDescent="0.2">
      <c r="A35" s="12">
        <v>10</v>
      </c>
      <c r="B35" s="14">
        <f t="shared" si="2"/>
        <v>5.9555622039038664E-2</v>
      </c>
      <c r="C35" s="15">
        <f t="shared" si="0"/>
        <v>199.99999999999994</v>
      </c>
      <c r="D35" s="14">
        <f t="shared" si="3"/>
        <v>5.9364113081413067E-2</v>
      </c>
      <c r="E35" s="157">
        <f t="shared" si="1"/>
        <v>0</v>
      </c>
    </row>
  </sheetData>
  <phoneticPr fontId="3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F36"/>
  <sheetViews>
    <sheetView showGridLines="0" workbookViewId="0">
      <selection activeCell="B2" sqref="B2"/>
    </sheetView>
  </sheetViews>
  <sheetFormatPr baseColWidth="10" defaultRowHeight="12.75" x14ac:dyDescent="0.2"/>
  <cols>
    <col min="1" max="1" width="19.42578125" style="11" customWidth="1"/>
    <col min="2" max="2" width="11.42578125" style="11"/>
    <col min="3" max="3" width="13" style="11" customWidth="1"/>
    <col min="4" max="16384" width="11.42578125" style="11"/>
  </cols>
  <sheetData>
    <row r="1" spans="1:6" x14ac:dyDescent="0.2">
      <c r="A1" s="84" t="s">
        <v>178</v>
      </c>
      <c r="B1" s="85"/>
      <c r="C1" s="85"/>
      <c r="D1" s="85"/>
      <c r="E1" s="85"/>
      <c r="F1" s="85"/>
    </row>
    <row r="2" spans="1:6" x14ac:dyDescent="0.2">
      <c r="A2" s="86" t="s">
        <v>91</v>
      </c>
      <c r="B2" s="106">
        <v>550</v>
      </c>
      <c r="C2" s="85"/>
      <c r="D2" s="85"/>
      <c r="E2" s="85"/>
      <c r="F2" s="85"/>
    </row>
    <row r="3" spans="1:6" x14ac:dyDescent="0.2">
      <c r="A3" s="85"/>
      <c r="B3" s="85"/>
      <c r="C3" s="85"/>
      <c r="D3" s="85"/>
      <c r="E3" s="85"/>
      <c r="F3" s="85"/>
    </row>
    <row r="4" spans="1:6" ht="24.75" customHeight="1" x14ac:dyDescent="0.2">
      <c r="A4" s="87" t="s">
        <v>92</v>
      </c>
      <c r="B4" s="88" t="s">
        <v>93</v>
      </c>
      <c r="C4" s="85"/>
      <c r="D4" s="85"/>
      <c r="E4" s="85"/>
      <c r="F4" s="85"/>
    </row>
    <row r="5" spans="1:6" x14ac:dyDescent="0.2">
      <c r="A5" s="112">
        <f>1/12</f>
        <v>8.3333333333333329E-2</v>
      </c>
      <c r="B5" s="106">
        <v>280</v>
      </c>
      <c r="C5" s="85"/>
      <c r="D5" s="85"/>
      <c r="E5" s="85"/>
      <c r="F5" s="85"/>
    </row>
    <row r="6" spans="1:6" x14ac:dyDescent="0.2">
      <c r="A6" s="112">
        <v>0.16666666666666666</v>
      </c>
      <c r="B6" s="106">
        <v>280</v>
      </c>
      <c r="C6" s="85"/>
      <c r="D6" s="89"/>
      <c r="E6" s="89"/>
      <c r="F6" s="85"/>
    </row>
    <row r="7" spans="1:6" x14ac:dyDescent="0.2">
      <c r="A7" s="112"/>
      <c r="B7" s="106"/>
      <c r="C7" s="85"/>
      <c r="D7" s="117" t="s">
        <v>98</v>
      </c>
      <c r="E7" s="114">
        <f>B36</f>
        <v>0.15522211056243129</v>
      </c>
      <c r="F7" s="85"/>
    </row>
    <row r="8" spans="1:6" x14ac:dyDescent="0.2">
      <c r="A8" s="112"/>
      <c r="B8" s="106"/>
      <c r="C8" s="85"/>
      <c r="D8" s="85"/>
      <c r="E8" s="85"/>
      <c r="F8" s="85"/>
    </row>
    <row r="9" spans="1:6" x14ac:dyDescent="0.2">
      <c r="A9" s="112"/>
      <c r="B9" s="106"/>
      <c r="C9" s="85"/>
      <c r="D9" s="85"/>
      <c r="E9" s="85"/>
      <c r="F9" s="85"/>
    </row>
    <row r="10" spans="1:6" x14ac:dyDescent="0.2">
      <c r="A10" s="112"/>
      <c r="B10" s="106"/>
      <c r="C10" s="85"/>
      <c r="D10" s="85"/>
      <c r="E10" s="85"/>
      <c r="F10" s="85"/>
    </row>
    <row r="11" spans="1:6" x14ac:dyDescent="0.2">
      <c r="A11" s="113"/>
      <c r="B11" s="106"/>
      <c r="C11" s="85"/>
      <c r="D11" s="85"/>
      <c r="E11" s="85"/>
      <c r="F11" s="85"/>
    </row>
    <row r="12" spans="1:6" x14ac:dyDescent="0.2">
      <c r="A12" s="113"/>
      <c r="B12" s="106"/>
      <c r="C12" s="85"/>
      <c r="D12" s="85"/>
      <c r="E12" s="85"/>
      <c r="F12" s="85"/>
    </row>
    <row r="13" spans="1:6" x14ac:dyDescent="0.2">
      <c r="A13" s="113"/>
      <c r="B13" s="106"/>
      <c r="C13" s="85"/>
      <c r="D13" s="85"/>
      <c r="E13" s="85"/>
      <c r="F13" s="85"/>
    </row>
    <row r="14" spans="1:6" x14ac:dyDescent="0.2">
      <c r="A14" s="113"/>
      <c r="B14" s="106"/>
      <c r="C14" s="85"/>
      <c r="D14" s="85"/>
      <c r="E14" s="85"/>
      <c r="F14" s="85"/>
    </row>
    <row r="15" spans="1:6" x14ac:dyDescent="0.2">
      <c r="A15" s="113"/>
      <c r="B15" s="106"/>
      <c r="C15" s="85"/>
      <c r="D15" s="85"/>
      <c r="E15" s="85"/>
      <c r="F15" s="85"/>
    </row>
    <row r="16" spans="1:6" x14ac:dyDescent="0.2">
      <c r="A16" s="111" t="s">
        <v>99</v>
      </c>
      <c r="B16" s="85"/>
      <c r="C16" s="85"/>
      <c r="D16" s="85"/>
      <c r="E16" s="85"/>
      <c r="F16" s="85"/>
    </row>
    <row r="17" spans="1:6" x14ac:dyDescent="0.2">
      <c r="A17" s="111" t="s">
        <v>100</v>
      </c>
      <c r="B17" s="85"/>
      <c r="C17" s="85"/>
      <c r="D17" s="85"/>
      <c r="E17" s="85"/>
      <c r="F17" s="85"/>
    </row>
    <row r="18" spans="1:6" x14ac:dyDescent="0.2">
      <c r="A18" s="111" t="s">
        <v>101</v>
      </c>
      <c r="B18" s="85"/>
      <c r="C18" s="85"/>
      <c r="D18" s="85"/>
      <c r="E18" s="85"/>
      <c r="F18" s="85"/>
    </row>
    <row r="19" spans="1:6" x14ac:dyDescent="0.2">
      <c r="A19" s="111"/>
      <c r="B19" s="85"/>
      <c r="C19" s="85"/>
      <c r="D19" s="85"/>
      <c r="E19" s="85"/>
      <c r="F19" s="85"/>
    </row>
    <row r="20" spans="1:6" x14ac:dyDescent="0.2">
      <c r="A20" s="111"/>
      <c r="B20" s="85"/>
      <c r="C20" s="85"/>
      <c r="D20" s="85"/>
      <c r="E20" s="85"/>
      <c r="F20" s="85"/>
    </row>
    <row r="21" spans="1:6" x14ac:dyDescent="0.2">
      <c r="A21" s="111"/>
      <c r="B21" s="85"/>
      <c r="C21" s="85"/>
      <c r="D21" s="85"/>
      <c r="E21" s="85"/>
      <c r="F21" s="85"/>
    </row>
    <row r="22" spans="1:6" x14ac:dyDescent="0.2">
      <c r="A22" s="13"/>
      <c r="B22" s="13"/>
    </row>
    <row r="23" spans="1:6" x14ac:dyDescent="0.2">
      <c r="A23" s="13"/>
      <c r="B23" s="13"/>
    </row>
    <row r="24" spans="1:6" x14ac:dyDescent="0.2">
      <c r="A24" s="13"/>
      <c r="B24" s="13"/>
    </row>
    <row r="25" spans="1:6" x14ac:dyDescent="0.2">
      <c r="A25" s="16" t="s">
        <v>88</v>
      </c>
    </row>
    <row r="26" spans="1:6" x14ac:dyDescent="0.2">
      <c r="A26" s="11" t="s">
        <v>76</v>
      </c>
      <c r="B26" s="11" t="s">
        <v>37</v>
      </c>
      <c r="C26" s="11" t="s">
        <v>96</v>
      </c>
    </row>
    <row r="27" spans="1:6" x14ac:dyDescent="0.2">
      <c r="A27" s="12">
        <v>1</v>
      </c>
      <c r="B27" s="14">
        <v>0.01</v>
      </c>
      <c r="C27" s="15">
        <f>$B$5/(1+B27)^$A$5+$B$6/(1+B27)^$A$6+$B$7/(1+B27)^$A$7+$B$8/(1+B27)^$A$8+$B$9/(1+B27)^$A$9+$B$10/(1+B27)^$A$10+$B$11/(1+B27)^$A$11+$B$12/(1+B27)^$A$12+$B$13/(1+B27)^$A$13+$B$14/(1+B27)^$A$14+$B$15/(1+B27)^$A$15</f>
        <v>559.30395789507895</v>
      </c>
    </row>
    <row r="28" spans="1:6" x14ac:dyDescent="0.2">
      <c r="A28" s="12">
        <v>2</v>
      </c>
      <c r="B28" s="14">
        <v>0.04</v>
      </c>
      <c r="C28" s="15">
        <f t="shared" ref="C28:C36" si="0">$B$5/(1+B28)^$A$5+$B$6/(1+B28)^$A$6+$B$7/(1+B28)^$A$7+$B$8/(1+B28)^$A$8+$B$9/(1+B28)^$A$9+$B$10/(1+B28)^$A$10+$B$11/(1+B28)^$A$11+$B$12/(1+B28)^$A$12+$B$13/(1+B28)^$A$13+$B$14/(1+B28)^$A$14+$B$15/(1+B28)^$A$15</f>
        <v>557.26201311176521</v>
      </c>
    </row>
    <row r="29" spans="1:6" x14ac:dyDescent="0.2">
      <c r="A29" s="12">
        <v>3</v>
      </c>
      <c r="B29" s="14">
        <f t="shared" ref="B29:B36" si="1">IF(ABS(C27-C28)&lt;0.0000001,B28,B28+(B27-B28)*(C28-$B$2)/(C28-C27))</f>
        <v>0.14669259772999593</v>
      </c>
      <c r="C29" s="15">
        <f t="shared" si="0"/>
        <v>550.50873502659795</v>
      </c>
    </row>
    <row r="30" spans="1:6" x14ac:dyDescent="0.2">
      <c r="A30" s="12">
        <v>4</v>
      </c>
      <c r="B30" s="14">
        <f t="shared" si="1"/>
        <v>0.15472991839996642</v>
      </c>
      <c r="C30" s="15">
        <f t="shared" si="0"/>
        <v>550.02923991141824</v>
      </c>
    </row>
    <row r="31" spans="1:6" x14ac:dyDescent="0.2">
      <c r="A31" s="12">
        <v>5</v>
      </c>
      <c r="B31" s="14">
        <f t="shared" si="1"/>
        <v>0.15522003923121178</v>
      </c>
      <c r="C31" s="15">
        <f t="shared" si="0"/>
        <v>550.00012302290759</v>
      </c>
    </row>
    <row r="32" spans="1:6" x14ac:dyDescent="0.2">
      <c r="A32" s="12">
        <v>6</v>
      </c>
      <c r="B32" s="14">
        <f t="shared" si="1"/>
        <v>0.15522211005995801</v>
      </c>
      <c r="C32" s="15">
        <f t="shared" si="0"/>
        <v>550.00000002984348</v>
      </c>
    </row>
    <row r="33" spans="1:3" x14ac:dyDescent="0.2">
      <c r="A33" s="12">
        <v>7</v>
      </c>
      <c r="B33" s="14">
        <f t="shared" si="1"/>
        <v>0.15522211056243129</v>
      </c>
      <c r="C33" s="15">
        <f t="shared" si="0"/>
        <v>549.99999999999989</v>
      </c>
    </row>
    <row r="34" spans="1:3" x14ac:dyDescent="0.2">
      <c r="A34" s="12">
        <v>8</v>
      </c>
      <c r="B34" s="14">
        <f t="shared" si="1"/>
        <v>0.15522211056243129</v>
      </c>
      <c r="C34" s="15">
        <f t="shared" si="0"/>
        <v>549.99999999999989</v>
      </c>
    </row>
    <row r="35" spans="1:3" x14ac:dyDescent="0.2">
      <c r="A35" s="12">
        <v>9</v>
      </c>
      <c r="B35" s="14">
        <f t="shared" si="1"/>
        <v>0.15522211056243129</v>
      </c>
      <c r="C35" s="15">
        <f t="shared" si="0"/>
        <v>549.99999999999989</v>
      </c>
    </row>
    <row r="36" spans="1:3" x14ac:dyDescent="0.2">
      <c r="A36" s="12">
        <v>10</v>
      </c>
      <c r="B36" s="14">
        <f t="shared" si="1"/>
        <v>0.15522211056243129</v>
      </c>
      <c r="C36" s="15">
        <f t="shared" si="0"/>
        <v>549.99999999999989</v>
      </c>
    </row>
  </sheetData>
  <phoneticPr fontId="3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workbookViewId="0">
      <selection activeCell="B5" sqref="B5"/>
    </sheetView>
  </sheetViews>
  <sheetFormatPr baseColWidth="10" defaultRowHeight="12.75" x14ac:dyDescent="0.2"/>
  <cols>
    <col min="1" max="1" width="19.42578125" style="11" customWidth="1"/>
    <col min="2" max="2" width="11.42578125" style="11"/>
    <col min="3" max="3" width="13" style="11" customWidth="1"/>
    <col min="4" max="16384" width="11.42578125" style="11"/>
  </cols>
  <sheetData>
    <row r="1" spans="1:6" x14ac:dyDescent="0.2">
      <c r="A1" s="84" t="s">
        <v>178</v>
      </c>
      <c r="B1" s="85"/>
      <c r="C1" s="85"/>
      <c r="D1" s="85"/>
      <c r="E1" s="85"/>
      <c r="F1" s="85"/>
    </row>
    <row r="2" spans="1:6" x14ac:dyDescent="0.2">
      <c r="A2" s="111"/>
      <c r="B2" s="85"/>
      <c r="C2" s="85"/>
      <c r="D2" s="85"/>
      <c r="E2" s="85"/>
      <c r="F2" s="85"/>
    </row>
    <row r="3" spans="1:6" x14ac:dyDescent="0.2">
      <c r="A3" s="85"/>
      <c r="B3" s="85"/>
      <c r="C3" s="85"/>
      <c r="D3" s="85"/>
      <c r="E3" s="85"/>
      <c r="F3" s="85"/>
    </row>
    <row r="4" spans="1:6" ht="24.75" customHeight="1" x14ac:dyDescent="0.2">
      <c r="A4" s="87" t="s">
        <v>92</v>
      </c>
      <c r="B4" s="88" t="s">
        <v>93</v>
      </c>
      <c r="C4" s="85"/>
      <c r="D4" s="85"/>
      <c r="E4" s="85"/>
      <c r="F4" s="85"/>
    </row>
    <row r="5" spans="1:6" x14ac:dyDescent="0.2">
      <c r="A5" s="167">
        <v>0</v>
      </c>
      <c r="B5" s="106">
        <v>-50000</v>
      </c>
      <c r="C5" s="85"/>
      <c r="D5" s="85"/>
      <c r="E5" s="85"/>
      <c r="F5" s="85"/>
    </row>
    <row r="6" spans="1:6" x14ac:dyDescent="0.2">
      <c r="A6" s="167">
        <v>8.3333333333333329E-2</v>
      </c>
      <c r="B6" s="106">
        <v>0</v>
      </c>
      <c r="C6" s="85"/>
      <c r="D6" s="89"/>
      <c r="E6" s="89"/>
      <c r="F6" s="85"/>
    </row>
    <row r="7" spans="1:6" x14ac:dyDescent="0.2">
      <c r="A7" s="167">
        <v>0.16666666666666666</v>
      </c>
      <c r="B7" s="106">
        <v>0</v>
      </c>
      <c r="C7" s="85"/>
      <c r="D7" s="117" t="s">
        <v>98</v>
      </c>
      <c r="E7" s="114">
        <f>(1+IRR(B5:B71,5%))^12-1</f>
        <v>6.9219003245961419E-2</v>
      </c>
      <c r="F7" s="85"/>
    </row>
    <row r="8" spans="1:6" x14ac:dyDescent="0.2">
      <c r="A8" s="167">
        <v>0.25</v>
      </c>
      <c r="B8" s="106">
        <v>0</v>
      </c>
      <c r="C8" s="85"/>
      <c r="D8" s="85"/>
      <c r="E8" s="85"/>
      <c r="F8" s="85"/>
    </row>
    <row r="9" spans="1:6" x14ac:dyDescent="0.2">
      <c r="A9" s="167">
        <v>0.33333333333333298</v>
      </c>
      <c r="B9" s="106">
        <v>0</v>
      </c>
      <c r="C9" s="85"/>
      <c r="D9" s="85"/>
      <c r="E9" s="85"/>
      <c r="F9" s="85"/>
    </row>
    <row r="10" spans="1:6" x14ac:dyDescent="0.2">
      <c r="A10" s="167">
        <v>0.41666666666666602</v>
      </c>
      <c r="B10" s="106">
        <v>0</v>
      </c>
      <c r="C10" s="85"/>
      <c r="D10" s="85"/>
      <c r="E10" s="85"/>
      <c r="F10" s="85"/>
    </row>
    <row r="11" spans="1:6" x14ac:dyDescent="0.2">
      <c r="A11" s="167">
        <v>0.5</v>
      </c>
      <c r="B11" s="106">
        <v>-50000</v>
      </c>
      <c r="C11" s="85"/>
      <c r="D11" s="111"/>
      <c r="E11" s="85"/>
      <c r="F11" s="85"/>
    </row>
    <row r="12" spans="1:6" x14ac:dyDescent="0.2">
      <c r="A12" s="167">
        <v>0.58333333333333304</v>
      </c>
      <c r="B12" s="106">
        <v>2000</v>
      </c>
      <c r="C12" s="85"/>
      <c r="D12" s="111"/>
      <c r="E12" s="85"/>
      <c r="F12" s="85"/>
    </row>
    <row r="13" spans="1:6" x14ac:dyDescent="0.2">
      <c r="A13" s="167">
        <v>0.66666666666666596</v>
      </c>
      <c r="B13" s="106">
        <f t="shared" ref="B13:B44" si="0">B12</f>
        <v>2000</v>
      </c>
      <c r="C13" s="85"/>
      <c r="D13" s="111"/>
      <c r="E13" s="85"/>
      <c r="F13" s="85"/>
    </row>
    <row r="14" spans="1:6" x14ac:dyDescent="0.2">
      <c r="A14" s="167">
        <v>0.75</v>
      </c>
      <c r="B14" s="106">
        <f t="shared" si="0"/>
        <v>2000</v>
      </c>
      <c r="C14" s="85"/>
      <c r="D14" s="85"/>
      <c r="E14" s="85"/>
      <c r="F14" s="85"/>
    </row>
    <row r="15" spans="1:6" x14ac:dyDescent="0.2">
      <c r="A15" s="167">
        <v>0.83333333333333304</v>
      </c>
      <c r="B15" s="106">
        <f t="shared" si="0"/>
        <v>2000</v>
      </c>
      <c r="C15" s="85"/>
      <c r="D15" s="85"/>
      <c r="E15" s="85"/>
      <c r="F15" s="85"/>
    </row>
    <row r="16" spans="1:6" x14ac:dyDescent="0.2">
      <c r="A16" s="167">
        <v>0.91666666666666596</v>
      </c>
      <c r="B16" s="106">
        <f t="shared" si="0"/>
        <v>2000</v>
      </c>
      <c r="C16" s="85"/>
      <c r="D16" s="85"/>
      <c r="E16" s="85"/>
      <c r="F16" s="85"/>
    </row>
    <row r="17" spans="1:6" x14ac:dyDescent="0.2">
      <c r="A17" s="167">
        <v>1</v>
      </c>
      <c r="B17" s="106">
        <f t="shared" si="0"/>
        <v>2000</v>
      </c>
      <c r="C17" s="85"/>
      <c r="D17" s="85"/>
      <c r="E17" s="85"/>
      <c r="F17" s="85"/>
    </row>
    <row r="18" spans="1:6" x14ac:dyDescent="0.2">
      <c r="A18" s="167">
        <v>1.0833333333333299</v>
      </c>
      <c r="B18" s="106">
        <f t="shared" si="0"/>
        <v>2000</v>
      </c>
      <c r="C18" s="85"/>
      <c r="D18" s="85"/>
      <c r="E18" s="85"/>
      <c r="F18" s="85"/>
    </row>
    <row r="19" spans="1:6" x14ac:dyDescent="0.2">
      <c r="A19" s="167">
        <v>1.1666666666666601</v>
      </c>
      <c r="B19" s="106">
        <f t="shared" si="0"/>
        <v>2000</v>
      </c>
      <c r="C19" s="85"/>
      <c r="D19" s="85"/>
      <c r="E19" s="85"/>
      <c r="F19" s="85"/>
    </row>
    <row r="20" spans="1:6" x14ac:dyDescent="0.2">
      <c r="A20" s="167">
        <v>1.25</v>
      </c>
      <c r="B20" s="106">
        <f t="shared" si="0"/>
        <v>2000</v>
      </c>
      <c r="C20" s="85"/>
      <c r="D20" s="85"/>
      <c r="E20" s="85"/>
      <c r="F20" s="85"/>
    </row>
    <row r="21" spans="1:6" x14ac:dyDescent="0.2">
      <c r="A21" s="167">
        <v>1.3333333333333299</v>
      </c>
      <c r="B21" s="106">
        <f t="shared" si="0"/>
        <v>2000</v>
      </c>
      <c r="C21" s="85"/>
      <c r="D21" s="85"/>
      <c r="E21" s="85"/>
      <c r="F21" s="85"/>
    </row>
    <row r="22" spans="1:6" x14ac:dyDescent="0.2">
      <c r="A22" s="167">
        <v>1.4166666666666601</v>
      </c>
      <c r="B22" s="106">
        <f t="shared" si="0"/>
        <v>2000</v>
      </c>
      <c r="C22" s="85"/>
      <c r="D22" s="85"/>
      <c r="E22" s="85"/>
      <c r="F22" s="85"/>
    </row>
    <row r="23" spans="1:6" x14ac:dyDescent="0.2">
      <c r="A23" s="167">
        <v>1.5</v>
      </c>
      <c r="B23" s="106">
        <f t="shared" si="0"/>
        <v>2000</v>
      </c>
      <c r="C23" s="85"/>
      <c r="D23" s="85"/>
      <c r="E23" s="85"/>
      <c r="F23" s="85"/>
    </row>
    <row r="24" spans="1:6" x14ac:dyDescent="0.2">
      <c r="A24" s="167">
        <v>1.5833333333333299</v>
      </c>
      <c r="B24" s="106">
        <f t="shared" si="0"/>
        <v>2000</v>
      </c>
      <c r="C24" s="85"/>
      <c r="D24" s="85"/>
      <c r="E24" s="85"/>
      <c r="F24" s="85"/>
    </row>
    <row r="25" spans="1:6" x14ac:dyDescent="0.2">
      <c r="A25" s="167">
        <v>1.6666666666666601</v>
      </c>
      <c r="B25" s="106">
        <f t="shared" si="0"/>
        <v>2000</v>
      </c>
      <c r="C25" s="85"/>
      <c r="D25" s="85"/>
      <c r="E25" s="85"/>
      <c r="F25" s="85"/>
    </row>
    <row r="26" spans="1:6" x14ac:dyDescent="0.2">
      <c r="A26" s="167">
        <v>1.75</v>
      </c>
      <c r="B26" s="106">
        <f t="shared" si="0"/>
        <v>2000</v>
      </c>
      <c r="C26" s="85"/>
      <c r="D26" s="85"/>
      <c r="E26" s="85"/>
      <c r="F26" s="85"/>
    </row>
    <row r="27" spans="1:6" x14ac:dyDescent="0.2">
      <c r="A27" s="167">
        <v>1.8333333333333299</v>
      </c>
      <c r="B27" s="106">
        <f t="shared" si="0"/>
        <v>2000</v>
      </c>
      <c r="C27" s="85"/>
      <c r="D27" s="85"/>
      <c r="E27" s="85"/>
      <c r="F27" s="85"/>
    </row>
    <row r="28" spans="1:6" x14ac:dyDescent="0.2">
      <c r="A28" s="167">
        <v>1.9166666666666601</v>
      </c>
      <c r="B28" s="106">
        <f t="shared" si="0"/>
        <v>2000</v>
      </c>
      <c r="C28" s="85"/>
      <c r="D28" s="85"/>
      <c r="E28" s="85"/>
      <c r="F28" s="85"/>
    </row>
    <row r="29" spans="1:6" x14ac:dyDescent="0.2">
      <c r="A29" s="167">
        <v>2</v>
      </c>
      <c r="B29" s="106">
        <f t="shared" si="0"/>
        <v>2000</v>
      </c>
      <c r="C29" s="85"/>
      <c r="D29" s="85"/>
      <c r="E29" s="85"/>
      <c r="F29" s="85"/>
    </row>
    <row r="30" spans="1:6" x14ac:dyDescent="0.2">
      <c r="A30" s="167">
        <v>2.0833333333333299</v>
      </c>
      <c r="B30" s="106">
        <f t="shared" si="0"/>
        <v>2000</v>
      </c>
      <c r="C30" s="85"/>
      <c r="D30" s="85"/>
      <c r="E30" s="85"/>
      <c r="F30" s="85"/>
    </row>
    <row r="31" spans="1:6" x14ac:dyDescent="0.2">
      <c r="A31" s="167">
        <v>2.1666666666666599</v>
      </c>
      <c r="B31" s="106">
        <f t="shared" si="0"/>
        <v>2000</v>
      </c>
      <c r="C31" s="85"/>
      <c r="D31" s="85"/>
      <c r="E31" s="85"/>
      <c r="F31" s="85"/>
    </row>
    <row r="32" spans="1:6" x14ac:dyDescent="0.2">
      <c r="A32" s="167">
        <v>2.25</v>
      </c>
      <c r="B32" s="106">
        <f t="shared" si="0"/>
        <v>2000</v>
      </c>
      <c r="C32" s="85"/>
      <c r="D32" s="85"/>
      <c r="E32" s="85"/>
      <c r="F32" s="85"/>
    </row>
    <row r="33" spans="1:6" x14ac:dyDescent="0.2">
      <c r="A33" s="167">
        <v>2.3333333333333299</v>
      </c>
      <c r="B33" s="106">
        <f t="shared" si="0"/>
        <v>2000</v>
      </c>
      <c r="C33" s="85"/>
      <c r="D33" s="85"/>
      <c r="E33" s="85"/>
      <c r="F33" s="85"/>
    </row>
    <row r="34" spans="1:6" x14ac:dyDescent="0.2">
      <c r="A34" s="167">
        <v>2.4166666666666599</v>
      </c>
      <c r="B34" s="106">
        <f t="shared" si="0"/>
        <v>2000</v>
      </c>
      <c r="C34" s="85"/>
      <c r="D34" s="85"/>
      <c r="E34" s="85"/>
      <c r="F34" s="85"/>
    </row>
    <row r="35" spans="1:6" x14ac:dyDescent="0.2">
      <c r="A35" s="167">
        <v>2.5</v>
      </c>
      <c r="B35" s="106">
        <f t="shared" si="0"/>
        <v>2000</v>
      </c>
      <c r="C35" s="85"/>
      <c r="D35" s="85"/>
      <c r="E35" s="85"/>
      <c r="F35" s="85"/>
    </row>
    <row r="36" spans="1:6" x14ac:dyDescent="0.2">
      <c r="A36" s="167">
        <v>2.5833333333333299</v>
      </c>
      <c r="B36" s="106">
        <f t="shared" si="0"/>
        <v>2000</v>
      </c>
      <c r="C36" s="85"/>
      <c r="D36" s="85"/>
      <c r="E36" s="85"/>
      <c r="F36" s="85"/>
    </row>
    <row r="37" spans="1:6" x14ac:dyDescent="0.2">
      <c r="A37" s="167">
        <v>2.6666666666666599</v>
      </c>
      <c r="B37" s="106">
        <f t="shared" si="0"/>
        <v>2000</v>
      </c>
      <c r="C37" s="85"/>
      <c r="D37" s="85"/>
      <c r="E37" s="85"/>
      <c r="F37" s="85"/>
    </row>
    <row r="38" spans="1:6" x14ac:dyDescent="0.2">
      <c r="A38" s="167">
        <v>2.75</v>
      </c>
      <c r="B38" s="106">
        <f t="shared" si="0"/>
        <v>2000</v>
      </c>
      <c r="C38" s="85"/>
      <c r="D38" s="85"/>
      <c r="E38" s="85"/>
      <c r="F38" s="85"/>
    </row>
    <row r="39" spans="1:6" x14ac:dyDescent="0.2">
      <c r="A39" s="167">
        <v>2.8333333333333299</v>
      </c>
      <c r="B39" s="106">
        <f t="shared" si="0"/>
        <v>2000</v>
      </c>
      <c r="C39" s="85"/>
      <c r="D39" s="85"/>
      <c r="E39" s="85"/>
      <c r="F39" s="85"/>
    </row>
    <row r="40" spans="1:6" x14ac:dyDescent="0.2">
      <c r="A40" s="167">
        <v>2.9166666666666599</v>
      </c>
      <c r="B40" s="106">
        <f t="shared" si="0"/>
        <v>2000</v>
      </c>
      <c r="C40" s="85"/>
      <c r="D40" s="85"/>
      <c r="E40" s="85"/>
      <c r="F40" s="85"/>
    </row>
    <row r="41" spans="1:6" x14ac:dyDescent="0.2">
      <c r="A41" s="167">
        <v>3</v>
      </c>
      <c r="B41" s="106">
        <f t="shared" si="0"/>
        <v>2000</v>
      </c>
      <c r="C41" s="85"/>
      <c r="D41" s="85"/>
      <c r="E41" s="85"/>
      <c r="F41" s="85"/>
    </row>
    <row r="42" spans="1:6" x14ac:dyDescent="0.2">
      <c r="A42" s="167">
        <v>3.0833333333333299</v>
      </c>
      <c r="B42" s="106">
        <f t="shared" si="0"/>
        <v>2000</v>
      </c>
      <c r="C42" s="85"/>
      <c r="D42" s="85"/>
      <c r="E42" s="85"/>
      <c r="F42" s="85"/>
    </row>
    <row r="43" spans="1:6" x14ac:dyDescent="0.2">
      <c r="A43" s="167">
        <v>3.1666666666666599</v>
      </c>
      <c r="B43" s="106">
        <f t="shared" si="0"/>
        <v>2000</v>
      </c>
      <c r="C43" s="85"/>
      <c r="D43" s="85"/>
      <c r="E43" s="85"/>
      <c r="F43" s="85"/>
    </row>
    <row r="44" spans="1:6" x14ac:dyDescent="0.2">
      <c r="A44" s="167">
        <v>3.25</v>
      </c>
      <c r="B44" s="106">
        <f t="shared" si="0"/>
        <v>2000</v>
      </c>
      <c r="C44" s="85"/>
      <c r="D44" s="85"/>
      <c r="E44" s="85"/>
      <c r="F44" s="85"/>
    </row>
    <row r="45" spans="1:6" x14ac:dyDescent="0.2">
      <c r="A45" s="167">
        <v>3.3333333333333299</v>
      </c>
      <c r="B45" s="106">
        <f t="shared" ref="B45:B71" si="1">B44</f>
        <v>2000</v>
      </c>
      <c r="C45" s="85"/>
      <c r="D45" s="85"/>
      <c r="E45" s="85"/>
      <c r="F45" s="85"/>
    </row>
    <row r="46" spans="1:6" x14ac:dyDescent="0.2">
      <c r="A46" s="167">
        <v>3.4166666666666599</v>
      </c>
      <c r="B46" s="106">
        <f t="shared" si="1"/>
        <v>2000</v>
      </c>
      <c r="C46" s="85"/>
      <c r="D46" s="85"/>
      <c r="E46" s="85"/>
      <c r="F46" s="85"/>
    </row>
    <row r="47" spans="1:6" x14ac:dyDescent="0.2">
      <c r="A47" s="167">
        <v>3.5</v>
      </c>
      <c r="B47" s="106">
        <f t="shared" si="1"/>
        <v>2000</v>
      </c>
      <c r="C47" s="85"/>
      <c r="D47" s="85"/>
      <c r="E47" s="85"/>
      <c r="F47" s="85"/>
    </row>
    <row r="48" spans="1:6" x14ac:dyDescent="0.2">
      <c r="A48" s="167">
        <v>3.5833333333333299</v>
      </c>
      <c r="B48" s="106">
        <f t="shared" si="1"/>
        <v>2000</v>
      </c>
      <c r="C48" s="85"/>
      <c r="D48" s="85"/>
      <c r="E48" s="85"/>
      <c r="F48" s="85"/>
    </row>
    <row r="49" spans="1:6" x14ac:dyDescent="0.2">
      <c r="A49" s="167">
        <v>3.6666666666666599</v>
      </c>
      <c r="B49" s="106">
        <f t="shared" si="1"/>
        <v>2000</v>
      </c>
      <c r="C49" s="85"/>
      <c r="D49" s="85"/>
      <c r="E49" s="85"/>
      <c r="F49" s="85"/>
    </row>
    <row r="50" spans="1:6" x14ac:dyDescent="0.2">
      <c r="A50" s="167">
        <v>3.75</v>
      </c>
      <c r="B50" s="106">
        <f t="shared" si="1"/>
        <v>2000</v>
      </c>
      <c r="C50" s="85"/>
      <c r="D50" s="85"/>
      <c r="E50" s="85"/>
      <c r="F50" s="85"/>
    </row>
    <row r="51" spans="1:6" x14ac:dyDescent="0.2">
      <c r="A51" s="167">
        <v>3.8333333333333299</v>
      </c>
      <c r="B51" s="106">
        <f t="shared" si="1"/>
        <v>2000</v>
      </c>
      <c r="C51" s="85"/>
      <c r="D51" s="85"/>
      <c r="E51" s="85"/>
      <c r="F51" s="85"/>
    </row>
    <row r="52" spans="1:6" x14ac:dyDescent="0.2">
      <c r="A52" s="167">
        <v>3.9166666666666599</v>
      </c>
      <c r="B52" s="106">
        <f t="shared" si="1"/>
        <v>2000</v>
      </c>
      <c r="C52" s="85"/>
      <c r="D52" s="85"/>
      <c r="E52" s="85"/>
      <c r="F52" s="85"/>
    </row>
    <row r="53" spans="1:6" x14ac:dyDescent="0.2">
      <c r="A53" s="167">
        <v>4</v>
      </c>
      <c r="B53" s="106">
        <f t="shared" si="1"/>
        <v>2000</v>
      </c>
      <c r="C53" s="85"/>
      <c r="D53" s="85"/>
      <c r="E53" s="85"/>
      <c r="F53" s="85"/>
    </row>
    <row r="54" spans="1:6" x14ac:dyDescent="0.2">
      <c r="A54" s="167">
        <v>4.0833333333333304</v>
      </c>
      <c r="B54" s="106">
        <f t="shared" si="1"/>
        <v>2000</v>
      </c>
      <c r="C54" s="85"/>
      <c r="D54" s="85"/>
      <c r="E54" s="85"/>
      <c r="F54" s="85"/>
    </row>
    <row r="55" spans="1:6" x14ac:dyDescent="0.2">
      <c r="A55" s="167">
        <v>4.1666666666666599</v>
      </c>
      <c r="B55" s="106">
        <f t="shared" si="1"/>
        <v>2000</v>
      </c>
      <c r="C55" s="85"/>
      <c r="D55" s="85"/>
      <c r="E55" s="85"/>
      <c r="F55" s="85"/>
    </row>
    <row r="56" spans="1:6" x14ac:dyDescent="0.2">
      <c r="A56" s="167">
        <v>4.25</v>
      </c>
      <c r="B56" s="106">
        <f t="shared" si="1"/>
        <v>2000</v>
      </c>
      <c r="C56" s="85"/>
      <c r="D56" s="85"/>
      <c r="E56" s="85"/>
      <c r="F56" s="85"/>
    </row>
    <row r="57" spans="1:6" x14ac:dyDescent="0.2">
      <c r="A57" s="167">
        <v>4.3333333333333304</v>
      </c>
      <c r="B57" s="106">
        <f t="shared" si="1"/>
        <v>2000</v>
      </c>
      <c r="C57" s="85"/>
      <c r="D57" s="85"/>
      <c r="E57" s="85"/>
      <c r="F57" s="85"/>
    </row>
    <row r="58" spans="1:6" x14ac:dyDescent="0.2">
      <c r="A58" s="167">
        <v>4.4166666666666599</v>
      </c>
      <c r="B58" s="106">
        <f t="shared" si="1"/>
        <v>2000</v>
      </c>
      <c r="C58" s="85"/>
      <c r="D58" s="85"/>
      <c r="E58" s="85"/>
      <c r="F58" s="85"/>
    </row>
    <row r="59" spans="1:6" x14ac:dyDescent="0.2">
      <c r="A59" s="167">
        <v>4.5</v>
      </c>
      <c r="B59" s="106">
        <f t="shared" si="1"/>
        <v>2000</v>
      </c>
      <c r="C59" s="85"/>
      <c r="D59" s="85"/>
      <c r="E59" s="85"/>
      <c r="F59" s="85"/>
    </row>
    <row r="60" spans="1:6" x14ac:dyDescent="0.2">
      <c r="A60" s="167">
        <v>4.5833333333333304</v>
      </c>
      <c r="B60" s="106">
        <f t="shared" si="1"/>
        <v>2000</v>
      </c>
      <c r="C60" s="85"/>
      <c r="D60" s="85"/>
      <c r="E60" s="85"/>
      <c r="F60" s="85"/>
    </row>
    <row r="61" spans="1:6" x14ac:dyDescent="0.2">
      <c r="A61" s="167">
        <v>4.6666666666666599</v>
      </c>
      <c r="B61" s="106">
        <f t="shared" si="1"/>
        <v>2000</v>
      </c>
      <c r="C61" s="85"/>
      <c r="D61" s="85"/>
      <c r="E61" s="85"/>
      <c r="F61" s="85"/>
    </row>
    <row r="62" spans="1:6" x14ac:dyDescent="0.2">
      <c r="A62" s="167">
        <v>4.75</v>
      </c>
      <c r="B62" s="106">
        <f t="shared" si="1"/>
        <v>2000</v>
      </c>
      <c r="C62" s="85"/>
      <c r="D62" s="85"/>
      <c r="E62" s="85"/>
      <c r="F62" s="85"/>
    </row>
    <row r="63" spans="1:6" x14ac:dyDescent="0.2">
      <c r="A63" s="167">
        <v>4.8333333333333304</v>
      </c>
      <c r="B63" s="106">
        <f t="shared" si="1"/>
        <v>2000</v>
      </c>
      <c r="C63" s="85"/>
      <c r="D63" s="85"/>
      <c r="E63" s="85"/>
      <c r="F63" s="85"/>
    </row>
    <row r="64" spans="1:6" x14ac:dyDescent="0.2">
      <c r="A64" s="167">
        <v>4.9166666666666599</v>
      </c>
      <c r="B64" s="106">
        <f t="shared" si="1"/>
        <v>2000</v>
      </c>
      <c r="C64" s="85"/>
      <c r="D64" s="85"/>
      <c r="E64" s="85"/>
      <c r="F64" s="85"/>
    </row>
    <row r="65" spans="1:6" x14ac:dyDescent="0.2">
      <c r="A65" s="167">
        <v>5</v>
      </c>
      <c r="B65" s="106">
        <f t="shared" si="1"/>
        <v>2000</v>
      </c>
      <c r="C65" s="85"/>
      <c r="D65" s="85"/>
      <c r="E65" s="85"/>
      <c r="F65" s="85"/>
    </row>
    <row r="66" spans="1:6" x14ac:dyDescent="0.2">
      <c r="A66" s="167">
        <v>5.0833333333333304</v>
      </c>
      <c r="B66" s="106">
        <f t="shared" si="1"/>
        <v>2000</v>
      </c>
      <c r="C66" s="85"/>
      <c r="D66" s="85"/>
      <c r="E66" s="85"/>
      <c r="F66" s="85"/>
    </row>
    <row r="67" spans="1:6" x14ac:dyDescent="0.2">
      <c r="A67" s="167">
        <v>5.1666666666666599</v>
      </c>
      <c r="B67" s="106">
        <f t="shared" si="1"/>
        <v>2000</v>
      </c>
      <c r="C67" s="85"/>
      <c r="D67" s="85"/>
      <c r="E67" s="85"/>
      <c r="F67" s="85"/>
    </row>
    <row r="68" spans="1:6" x14ac:dyDescent="0.2">
      <c r="A68" s="167">
        <v>5.25</v>
      </c>
      <c r="B68" s="106">
        <f t="shared" si="1"/>
        <v>2000</v>
      </c>
      <c r="C68" s="85"/>
      <c r="D68" s="85"/>
      <c r="E68" s="85"/>
      <c r="F68" s="85"/>
    </row>
    <row r="69" spans="1:6" x14ac:dyDescent="0.2">
      <c r="A69" s="167">
        <v>5.3333333333333197</v>
      </c>
      <c r="B69" s="106">
        <f t="shared" si="1"/>
        <v>2000</v>
      </c>
      <c r="C69" s="85"/>
      <c r="D69" s="85"/>
      <c r="E69" s="85"/>
      <c r="F69" s="85"/>
    </row>
    <row r="70" spans="1:6" x14ac:dyDescent="0.2">
      <c r="A70" s="167">
        <v>5.4166666666666501</v>
      </c>
      <c r="B70" s="106">
        <f t="shared" si="1"/>
        <v>2000</v>
      </c>
      <c r="C70" s="85"/>
      <c r="D70" s="85"/>
      <c r="E70" s="85"/>
      <c r="F70" s="85"/>
    </row>
    <row r="71" spans="1:6" x14ac:dyDescent="0.2">
      <c r="A71" s="167">
        <v>5.4999999999999796</v>
      </c>
      <c r="B71" s="106">
        <f t="shared" si="1"/>
        <v>2000</v>
      </c>
      <c r="C71" s="85"/>
      <c r="D71" s="85"/>
      <c r="E71" s="85"/>
      <c r="F71" s="85"/>
    </row>
    <row r="72" spans="1:6" x14ac:dyDescent="0.2">
      <c r="A72" s="85"/>
      <c r="B72" s="85"/>
      <c r="C72" s="85"/>
      <c r="D72" s="85"/>
      <c r="E72" s="85"/>
      <c r="F72" s="85"/>
    </row>
  </sheetData>
  <phoneticPr fontId="4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A9" sqref="A9"/>
    </sheetView>
  </sheetViews>
  <sheetFormatPr baseColWidth="10" defaultRowHeight="12.75" x14ac:dyDescent="0.2"/>
  <cols>
    <col min="1" max="1" width="19.42578125" style="11" customWidth="1"/>
    <col min="2" max="2" width="11.42578125" style="11"/>
    <col min="3" max="3" width="13" style="11" customWidth="1"/>
    <col min="4" max="16384" width="11.42578125" style="11"/>
  </cols>
  <sheetData>
    <row r="1" spans="1:6" x14ac:dyDescent="0.2">
      <c r="A1" s="84" t="s">
        <v>259</v>
      </c>
      <c r="B1" s="85"/>
      <c r="C1" s="85"/>
      <c r="D1" s="85"/>
      <c r="E1" s="85"/>
      <c r="F1" s="85"/>
    </row>
    <row r="2" spans="1:6" x14ac:dyDescent="0.2">
      <c r="A2" s="86" t="s">
        <v>91</v>
      </c>
      <c r="B2" s="106">
        <v>1000</v>
      </c>
      <c r="C2" s="85"/>
      <c r="D2" s="85"/>
      <c r="E2" s="85"/>
      <c r="F2" s="85"/>
    </row>
    <row r="3" spans="1:6" x14ac:dyDescent="0.2">
      <c r="A3" s="85"/>
      <c r="B3" s="85"/>
      <c r="C3" s="85"/>
      <c r="D3" s="85"/>
      <c r="E3" s="85"/>
      <c r="F3" s="85"/>
    </row>
    <row r="4" spans="1:6" ht="24.75" customHeight="1" x14ac:dyDescent="0.2">
      <c r="A4" s="87" t="s">
        <v>92</v>
      </c>
      <c r="B4" s="88" t="s">
        <v>93</v>
      </c>
      <c r="C4" s="85"/>
      <c r="D4" s="85"/>
      <c r="E4" s="85"/>
      <c r="F4" s="85"/>
    </row>
    <row r="5" spans="1:6" x14ac:dyDescent="0.2">
      <c r="A5" s="112">
        <f>1/12</f>
        <v>8.3333333333333329E-2</v>
      </c>
      <c r="B5" s="106">
        <v>200</v>
      </c>
      <c r="C5" s="85"/>
      <c r="D5" s="85"/>
      <c r="E5" s="85"/>
      <c r="F5" s="85"/>
    </row>
    <row r="6" spans="1:6" x14ac:dyDescent="0.2">
      <c r="A6" s="112">
        <f>2/12</f>
        <v>0.16666666666666666</v>
      </c>
      <c r="B6" s="106">
        <v>200</v>
      </c>
      <c r="C6" s="85"/>
      <c r="D6" s="89"/>
      <c r="E6" s="89"/>
      <c r="F6" s="85"/>
    </row>
    <row r="7" spans="1:6" x14ac:dyDescent="0.2">
      <c r="A7" s="112">
        <f>3/12</f>
        <v>0.25</v>
      </c>
      <c r="B7" s="106">
        <v>200</v>
      </c>
      <c r="C7" s="85"/>
      <c r="D7" s="117" t="s">
        <v>98</v>
      </c>
      <c r="E7" s="114">
        <f>B36</f>
        <v>9.4826178904680217E-2</v>
      </c>
      <c r="F7" s="85"/>
    </row>
    <row r="8" spans="1:6" x14ac:dyDescent="0.2">
      <c r="A8" s="112">
        <f>4/12</f>
        <v>0.33333333333333331</v>
      </c>
      <c r="B8" s="106">
        <v>200</v>
      </c>
      <c r="C8" s="85"/>
      <c r="D8" s="85"/>
      <c r="E8" s="85"/>
      <c r="F8" s="85"/>
    </row>
    <row r="9" spans="1:6" x14ac:dyDescent="0.2">
      <c r="A9" s="112">
        <f>15/365</f>
        <v>4.1095890410958902E-2</v>
      </c>
      <c r="B9" s="106">
        <v>2.5</v>
      </c>
      <c r="C9" s="85"/>
      <c r="D9" s="85"/>
      <c r="E9" s="85"/>
      <c r="F9" s="85"/>
    </row>
    <row r="10" spans="1:6" x14ac:dyDescent="0.2">
      <c r="A10" s="112">
        <f>5/12+15/365</f>
        <v>0.45776255707762559</v>
      </c>
      <c r="B10" s="106">
        <v>5</v>
      </c>
      <c r="C10" s="85"/>
      <c r="D10" s="85"/>
      <c r="E10" s="85"/>
      <c r="F10" s="85"/>
    </row>
    <row r="11" spans="1:6" x14ac:dyDescent="0.2">
      <c r="A11" s="113">
        <f>7/12+20/365</f>
        <v>0.63812785388127857</v>
      </c>
      <c r="B11" s="106">
        <v>220</v>
      </c>
      <c r="C11" s="85"/>
      <c r="D11" s="85"/>
      <c r="E11" s="85"/>
      <c r="F11" s="85"/>
    </row>
    <row r="12" spans="1:6" x14ac:dyDescent="0.2">
      <c r="A12" s="113"/>
      <c r="B12" s="106"/>
      <c r="C12" s="85"/>
      <c r="D12" s="85"/>
      <c r="E12" s="85"/>
      <c r="F12" s="85"/>
    </row>
    <row r="13" spans="1:6" x14ac:dyDescent="0.2">
      <c r="A13" s="113"/>
      <c r="B13" s="106"/>
      <c r="C13" s="85"/>
      <c r="D13" s="85"/>
      <c r="E13" s="85"/>
      <c r="F13" s="85"/>
    </row>
    <row r="14" spans="1:6" x14ac:dyDescent="0.2">
      <c r="A14" s="113"/>
      <c r="B14" s="106"/>
      <c r="C14" s="85"/>
      <c r="D14" s="85"/>
      <c r="E14" s="85"/>
      <c r="F14" s="85"/>
    </row>
    <row r="15" spans="1:6" x14ac:dyDescent="0.2">
      <c r="A15" s="113"/>
      <c r="B15" s="106"/>
      <c r="C15" s="85"/>
      <c r="D15" s="85"/>
      <c r="E15" s="85"/>
      <c r="F15" s="85"/>
    </row>
    <row r="16" spans="1:6" x14ac:dyDescent="0.2">
      <c r="A16" s="111" t="s">
        <v>99</v>
      </c>
      <c r="B16" s="85"/>
      <c r="C16" s="85"/>
      <c r="D16" s="85"/>
      <c r="E16" s="85"/>
      <c r="F16" s="85"/>
    </row>
    <row r="17" spans="1:6" x14ac:dyDescent="0.2">
      <c r="A17" s="111" t="s">
        <v>100</v>
      </c>
      <c r="B17" s="85"/>
      <c r="C17" s="85"/>
      <c r="D17" s="85"/>
      <c r="E17" s="85"/>
      <c r="F17" s="85"/>
    </row>
    <row r="18" spans="1:6" x14ac:dyDescent="0.2">
      <c r="A18" s="111" t="s">
        <v>101</v>
      </c>
      <c r="B18" s="85"/>
      <c r="C18" s="85"/>
      <c r="D18" s="85"/>
      <c r="E18" s="85"/>
      <c r="F18" s="85"/>
    </row>
    <row r="19" spans="1:6" x14ac:dyDescent="0.2">
      <c r="A19" s="111"/>
      <c r="B19" s="85"/>
      <c r="C19" s="85"/>
      <c r="D19" s="85"/>
      <c r="E19" s="85"/>
      <c r="F19" s="85"/>
    </row>
    <row r="20" spans="1:6" x14ac:dyDescent="0.2">
      <c r="A20" s="115"/>
      <c r="B20" s="116"/>
      <c r="C20" s="116"/>
      <c r="D20" s="116"/>
      <c r="E20" s="116"/>
      <c r="F20" s="116"/>
    </row>
    <row r="21" spans="1:6" x14ac:dyDescent="0.2">
      <c r="A21" s="115"/>
      <c r="B21" s="116"/>
      <c r="C21" s="116"/>
      <c r="D21" s="116"/>
      <c r="E21" s="116"/>
      <c r="F21" s="116"/>
    </row>
    <row r="22" spans="1:6" x14ac:dyDescent="0.2">
      <c r="A22" s="13"/>
      <c r="B22" s="13"/>
    </row>
    <row r="23" spans="1:6" x14ac:dyDescent="0.2">
      <c r="A23" s="13"/>
      <c r="B23" s="13"/>
    </row>
    <row r="24" spans="1:6" x14ac:dyDescent="0.2">
      <c r="A24" s="13"/>
      <c r="B24" s="13"/>
    </row>
    <row r="25" spans="1:6" x14ac:dyDescent="0.2">
      <c r="A25" s="16" t="s">
        <v>88</v>
      </c>
    </row>
    <row r="26" spans="1:6" x14ac:dyDescent="0.2">
      <c r="A26" s="11" t="s">
        <v>76</v>
      </c>
      <c r="B26" s="11" t="s">
        <v>37</v>
      </c>
      <c r="C26" s="11" t="s">
        <v>96</v>
      </c>
    </row>
    <row r="27" spans="1:6" x14ac:dyDescent="0.2">
      <c r="A27" s="12">
        <v>1</v>
      </c>
      <c r="B27" s="14">
        <v>0.01</v>
      </c>
      <c r="C27" s="15">
        <f t="shared" ref="C27:C36" si="0">$B$5/(1+B27)^$A$5+$B$6/(1+B27)^$A$6+$B$7/(1+B27)^$A$7+$B$8/(1+B27)^$A$8+$B$9/(1+B27)^$A$9+$B$10/(1+B27)^$A$10+$B$11/(1+B27)^$A$11+$B$12/(1+B27)^$A$12+$B$13/(1+B27)^$A$13+$B$14/(1+B27)^$A$14+$B$15/(1+B27)^$A$15</f>
        <v>1024.4274447749806</v>
      </c>
    </row>
    <row r="28" spans="1:6" x14ac:dyDescent="0.2">
      <c r="A28" s="12">
        <v>2</v>
      </c>
      <c r="B28" s="14">
        <v>0.04</v>
      </c>
      <c r="C28" s="15">
        <f t="shared" si="0"/>
        <v>1015.4643608992665</v>
      </c>
    </row>
    <row r="29" spans="1:6" x14ac:dyDescent="0.2">
      <c r="A29" s="12">
        <v>3</v>
      </c>
      <c r="B29" s="14">
        <f t="shared" ref="B29:B36" si="1">IF(ABS(C27-C28)&lt;0.0000001,B28,B28+(B27-B28)*(C28-$B$2)/(C28-C27))</f>
        <v>9.1760179131541497E-2</v>
      </c>
      <c r="C29" s="15">
        <f t="shared" si="0"/>
        <v>1000.8354685897912</v>
      </c>
    </row>
    <row r="30" spans="1:6" x14ac:dyDescent="0.2">
      <c r="A30" s="12">
        <v>4</v>
      </c>
      <c r="B30" s="14">
        <f t="shared" si="1"/>
        <v>9.4716247366342654E-2</v>
      </c>
      <c r="C30" s="15">
        <f t="shared" si="0"/>
        <v>1000.0298981549112</v>
      </c>
    </row>
    <row r="31" spans="1:6" x14ac:dyDescent="0.2">
      <c r="A31" s="12">
        <v>5</v>
      </c>
      <c r="B31" s="14">
        <f t="shared" si="1"/>
        <v>9.4825959667322546E-2</v>
      </c>
      <c r="C31" s="15">
        <f t="shared" si="0"/>
        <v>1000.0000596218786</v>
      </c>
    </row>
    <row r="32" spans="1:6" x14ac:dyDescent="0.2">
      <c r="A32" s="12">
        <v>6</v>
      </c>
      <c r="B32" s="14">
        <f t="shared" si="1"/>
        <v>9.4826178889007434E-2</v>
      </c>
      <c r="C32" s="15">
        <f t="shared" si="0"/>
        <v>1000.0000000042622</v>
      </c>
    </row>
    <row r="33" spans="1:3" x14ac:dyDescent="0.2">
      <c r="A33" s="12">
        <v>7</v>
      </c>
      <c r="B33" s="14">
        <f t="shared" si="1"/>
        <v>9.4826178904680217E-2</v>
      </c>
      <c r="C33" s="15">
        <f t="shared" si="0"/>
        <v>1000</v>
      </c>
    </row>
    <row r="34" spans="1:3" x14ac:dyDescent="0.2">
      <c r="A34" s="12">
        <v>8</v>
      </c>
      <c r="B34" s="14">
        <f t="shared" si="1"/>
        <v>9.4826178904680217E-2</v>
      </c>
      <c r="C34" s="15">
        <f t="shared" si="0"/>
        <v>1000</v>
      </c>
    </row>
    <row r="35" spans="1:3" x14ac:dyDescent="0.2">
      <c r="A35" s="12">
        <v>9</v>
      </c>
      <c r="B35" s="14">
        <f t="shared" si="1"/>
        <v>9.4826178904680217E-2</v>
      </c>
      <c r="C35" s="15">
        <f t="shared" si="0"/>
        <v>1000</v>
      </c>
    </row>
    <row r="36" spans="1:3" x14ac:dyDescent="0.2">
      <c r="A36" s="12">
        <v>10</v>
      </c>
      <c r="B36" s="14">
        <f t="shared" si="1"/>
        <v>9.4826178904680217E-2</v>
      </c>
      <c r="C36" s="15">
        <f t="shared" si="0"/>
        <v>1000</v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D10"/>
  <sheetViews>
    <sheetView workbookViewId="0">
      <selection activeCell="B1" sqref="B1"/>
    </sheetView>
  </sheetViews>
  <sheetFormatPr baseColWidth="10" defaultRowHeight="12.75" x14ac:dyDescent="0.2"/>
  <sheetData>
    <row r="1" spans="1:4" x14ac:dyDescent="0.2">
      <c r="A1" s="19" t="s">
        <v>1</v>
      </c>
      <c r="B1" s="63">
        <v>0.06</v>
      </c>
      <c r="C1" s="19"/>
      <c r="D1" s="19"/>
    </row>
    <row r="2" spans="1:4" x14ac:dyDescent="0.2">
      <c r="A2" s="19" t="s">
        <v>102</v>
      </c>
      <c r="B2" s="19"/>
      <c r="C2" s="19"/>
      <c r="D2" s="19"/>
    </row>
    <row r="3" spans="1:4" x14ac:dyDescent="0.2">
      <c r="A3" s="19"/>
      <c r="B3" s="19"/>
      <c r="C3" s="19"/>
      <c r="D3" s="19"/>
    </row>
    <row r="4" spans="1:4" x14ac:dyDescent="0.2">
      <c r="A4" s="19" t="s">
        <v>103</v>
      </c>
      <c r="B4" s="19"/>
      <c r="C4" s="19"/>
      <c r="D4" s="19"/>
    </row>
    <row r="5" spans="1:4" x14ac:dyDescent="0.2">
      <c r="A5" s="19"/>
      <c r="B5" s="19" t="s">
        <v>104</v>
      </c>
      <c r="C5" s="62">
        <f>(1+B1/12)^12-1</f>
        <v>6.1677811864497611E-2</v>
      </c>
      <c r="D5" s="19"/>
    </row>
    <row r="6" spans="1:4" x14ac:dyDescent="0.2">
      <c r="A6" s="19"/>
      <c r="B6" s="19" t="s">
        <v>105</v>
      </c>
      <c r="C6" s="43">
        <f>B1</f>
        <v>0.06</v>
      </c>
      <c r="D6" s="19"/>
    </row>
    <row r="7" spans="1:4" x14ac:dyDescent="0.2">
      <c r="A7" s="19"/>
      <c r="B7" s="19"/>
      <c r="C7" s="19"/>
      <c r="D7" s="19"/>
    </row>
    <row r="8" spans="1:4" x14ac:dyDescent="0.2">
      <c r="A8" s="19" t="s">
        <v>106</v>
      </c>
      <c r="B8" s="19"/>
      <c r="C8" s="19"/>
      <c r="D8" s="19"/>
    </row>
    <row r="9" spans="1:4" x14ac:dyDescent="0.2">
      <c r="A9" s="19"/>
      <c r="B9" s="19" t="s">
        <v>104</v>
      </c>
      <c r="C9" s="62">
        <f>C5</f>
        <v>6.1677811864497611E-2</v>
      </c>
      <c r="D9" s="19"/>
    </row>
    <row r="10" spans="1:4" x14ac:dyDescent="0.2">
      <c r="A10" s="19"/>
      <c r="B10" s="19" t="s">
        <v>179</v>
      </c>
      <c r="C10" s="43">
        <f>C9</f>
        <v>6.1677811864497611E-2</v>
      </c>
      <c r="D10" s="19"/>
    </row>
  </sheetData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D13"/>
  <sheetViews>
    <sheetView workbookViewId="0">
      <selection activeCell="B1" sqref="B1"/>
    </sheetView>
  </sheetViews>
  <sheetFormatPr baseColWidth="10" defaultRowHeight="12.75" x14ac:dyDescent="0.2"/>
  <cols>
    <col min="1" max="1" width="26.7109375" customWidth="1"/>
    <col min="2" max="3" width="16.5703125" customWidth="1"/>
  </cols>
  <sheetData>
    <row r="1" spans="1:4" x14ac:dyDescent="0.2">
      <c r="A1" s="108" t="s">
        <v>229</v>
      </c>
      <c r="B1" s="227" t="s">
        <v>228</v>
      </c>
      <c r="C1" s="227" t="s">
        <v>230</v>
      </c>
      <c r="D1" s="19"/>
    </row>
    <row r="2" spans="1:4" x14ac:dyDescent="0.2">
      <c r="A2" s="234" t="s">
        <v>107</v>
      </c>
      <c r="B2" s="228">
        <v>50000</v>
      </c>
      <c r="C2" s="228">
        <v>70000</v>
      </c>
      <c r="D2" s="19"/>
    </row>
    <row r="3" spans="1:4" x14ac:dyDescent="0.2">
      <c r="A3" s="234" t="s">
        <v>226</v>
      </c>
      <c r="B3" s="228">
        <v>10000</v>
      </c>
      <c r="C3" s="228">
        <v>30000</v>
      </c>
      <c r="D3" s="19"/>
    </row>
    <row r="4" spans="1:4" x14ac:dyDescent="0.2">
      <c r="A4" s="234" t="s">
        <v>84</v>
      </c>
      <c r="B4" s="229">
        <v>7</v>
      </c>
      <c r="C4" s="229">
        <v>4</v>
      </c>
      <c r="D4" s="19"/>
    </row>
    <row r="5" spans="1:4" x14ac:dyDescent="0.2">
      <c r="A5" s="234" t="s">
        <v>109</v>
      </c>
      <c r="B5" s="228">
        <v>5000</v>
      </c>
      <c r="C5" s="228">
        <v>0</v>
      </c>
      <c r="D5" s="19"/>
    </row>
    <row r="6" spans="1:4" x14ac:dyDescent="0.2">
      <c r="A6" s="234" t="s">
        <v>110</v>
      </c>
      <c r="B6" s="230">
        <v>0.08</v>
      </c>
      <c r="C6" s="230">
        <v>0.08</v>
      </c>
      <c r="D6" s="19"/>
    </row>
    <row r="7" spans="1:4" x14ac:dyDescent="0.2">
      <c r="A7" s="219"/>
      <c r="B7" s="219"/>
      <c r="C7" s="219"/>
      <c r="D7" s="19"/>
    </row>
    <row r="8" spans="1:4" x14ac:dyDescent="0.2">
      <c r="A8" s="235" t="s">
        <v>15</v>
      </c>
      <c r="B8" s="219"/>
      <c r="C8" s="219"/>
      <c r="D8" s="19"/>
    </row>
    <row r="9" spans="1:4" x14ac:dyDescent="0.2">
      <c r="A9" s="234" t="s">
        <v>227</v>
      </c>
      <c r="B9" s="231">
        <f>-B2+B3*(1-(1+B6)^(-B4))/B6+B5*(1+B6)^(-B4)</f>
        <v>4981.1525685439374</v>
      </c>
      <c r="C9" s="231">
        <f>-C2+C3*(1-(1+C6)^(-C4))/C6+C5*(1+C6)^(-C4)</f>
        <v>29363.805201330018</v>
      </c>
      <c r="D9" s="19"/>
    </row>
    <row r="10" spans="1:4" x14ac:dyDescent="0.2">
      <c r="A10" s="234" t="s">
        <v>111</v>
      </c>
      <c r="B10" s="232">
        <f>RATE(B4,-B3,B2,-B5)</f>
        <v>0.10721512418940596</v>
      </c>
      <c r="C10" s="232">
        <f>RATE(C4,-C3,C2,-C5)</f>
        <v>0.25679336940125397</v>
      </c>
      <c r="D10" s="19"/>
    </row>
    <row r="11" spans="1:4" x14ac:dyDescent="0.2">
      <c r="A11" s="151" t="s">
        <v>225</v>
      </c>
      <c r="B11" s="233">
        <f>B9*B6/(1-(1+B6)^(-B4))</f>
        <v>956.7419357215291</v>
      </c>
      <c r="C11" s="233">
        <f>C9*C6/(1-(1+C6)^(-C4))</f>
        <v>8865.543688217258</v>
      </c>
      <c r="D11" s="19"/>
    </row>
    <row r="12" spans="1:4" x14ac:dyDescent="0.2">
      <c r="A12" s="19"/>
      <c r="B12" s="19"/>
      <c r="C12" s="19"/>
      <c r="D12" s="19"/>
    </row>
    <row r="13" spans="1:4" x14ac:dyDescent="0.2">
      <c r="A13" s="19"/>
      <c r="B13" s="19"/>
      <c r="C13" s="19"/>
      <c r="D13" s="19"/>
    </row>
  </sheetData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 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C127"/>
  <sheetViews>
    <sheetView workbookViewId="0">
      <selection activeCell="H7" sqref="H7"/>
    </sheetView>
  </sheetViews>
  <sheetFormatPr baseColWidth="10" defaultRowHeight="12.75" x14ac:dyDescent="0.2"/>
  <sheetData>
    <row r="1" spans="1:3" x14ac:dyDescent="0.2">
      <c r="B1" s="4" t="s">
        <v>82</v>
      </c>
    </row>
    <row r="2" spans="1:3" x14ac:dyDescent="0.2">
      <c r="A2" t="s">
        <v>60</v>
      </c>
      <c r="B2" s="165">
        <v>-1000</v>
      </c>
    </row>
    <row r="3" spans="1:3" x14ac:dyDescent="0.2">
      <c r="A3" t="s">
        <v>5</v>
      </c>
      <c r="B3" s="165">
        <v>100</v>
      </c>
    </row>
    <row r="4" spans="1:3" x14ac:dyDescent="0.2">
      <c r="A4" t="s">
        <v>6</v>
      </c>
      <c r="B4" s="165">
        <v>1100</v>
      </c>
    </row>
    <row r="8" spans="1:3" x14ac:dyDescent="0.2">
      <c r="A8" t="s">
        <v>27</v>
      </c>
    </row>
    <row r="9" spans="1:3" x14ac:dyDescent="0.2">
      <c r="A9" t="s">
        <v>112</v>
      </c>
      <c r="B9" s="5">
        <f>IRR(B2:B4,1%)</f>
        <v>0.10000000000000009</v>
      </c>
    </row>
    <row r="10" spans="1:3" x14ac:dyDescent="0.2">
      <c r="B10" s="5">
        <f>IRR(B2:B4,100%)</f>
        <v>0.10000000000339981</v>
      </c>
    </row>
    <row r="15" spans="1:3" x14ac:dyDescent="0.2">
      <c r="B15" t="s">
        <v>113</v>
      </c>
      <c r="C15" t="s">
        <v>114</v>
      </c>
    </row>
    <row r="16" spans="1:3" x14ac:dyDescent="0.2">
      <c r="B16" s="1">
        <v>0</v>
      </c>
      <c r="C16" s="2"/>
    </row>
    <row r="17" spans="2:3" x14ac:dyDescent="0.2">
      <c r="B17" s="5">
        <f t="shared" ref="B17:B48" si="0">B16+1%</f>
        <v>0.01</v>
      </c>
      <c r="C17" s="2">
        <f t="shared" ref="C17:C48" si="1">NPV(B17,$B$2:$B$4)</f>
        <v>175.57975776011088</v>
      </c>
    </row>
    <row r="18" spans="2:3" x14ac:dyDescent="0.2">
      <c r="B18" s="5">
        <f t="shared" si="0"/>
        <v>0.02</v>
      </c>
      <c r="C18" s="2">
        <f t="shared" si="1"/>
        <v>152.27928926280237</v>
      </c>
    </row>
    <row r="19" spans="2:3" x14ac:dyDescent="0.2">
      <c r="B19" s="5">
        <f t="shared" si="0"/>
        <v>0.03</v>
      </c>
      <c r="C19" s="2">
        <f t="shared" si="1"/>
        <v>130.04162979408409</v>
      </c>
    </row>
    <row r="20" spans="2:3" x14ac:dyDescent="0.2">
      <c r="B20" s="5">
        <f t="shared" si="0"/>
        <v>0.04</v>
      </c>
      <c r="C20" s="2">
        <f t="shared" si="1"/>
        <v>108.81315430131993</v>
      </c>
    </row>
    <row r="21" spans="2:3" x14ac:dyDescent="0.2">
      <c r="B21" s="5">
        <f t="shared" si="0"/>
        <v>0.05</v>
      </c>
      <c r="C21" s="2">
        <f t="shared" si="1"/>
        <v>88.54335384947619</v>
      </c>
    </row>
    <row r="22" spans="2:3" x14ac:dyDescent="0.2">
      <c r="B22" s="5">
        <f t="shared" si="0"/>
        <v>6.0000000000000005E-2</v>
      </c>
      <c r="C22" s="2">
        <f t="shared" si="1"/>
        <v>69.184628921861517</v>
      </c>
    </row>
    <row r="23" spans="2:3" x14ac:dyDescent="0.2">
      <c r="B23" s="5">
        <f t="shared" si="0"/>
        <v>7.0000000000000007E-2</v>
      </c>
      <c r="C23" s="2">
        <f t="shared" si="1"/>
        <v>50.692098154921901</v>
      </c>
    </row>
    <row r="24" spans="2:3" x14ac:dyDescent="0.2">
      <c r="B24" s="5">
        <f t="shared" si="0"/>
        <v>0.08</v>
      </c>
      <c r="C24" s="2">
        <f t="shared" si="1"/>
        <v>33.023421226439012</v>
      </c>
    </row>
    <row r="25" spans="2:3" x14ac:dyDescent="0.2">
      <c r="B25" s="5">
        <f t="shared" si="0"/>
        <v>0.09</v>
      </c>
      <c r="C25" s="2">
        <f t="shared" si="1"/>
        <v>16.138634733276142</v>
      </c>
    </row>
    <row r="26" spans="2:3" x14ac:dyDescent="0.2">
      <c r="B26" s="5">
        <f t="shared" si="0"/>
        <v>9.9999999999999992E-2</v>
      </c>
      <c r="C26" s="2">
        <f t="shared" si="1"/>
        <v>-2.0670334131202914E-13</v>
      </c>
    </row>
    <row r="27" spans="2:3" x14ac:dyDescent="0.2">
      <c r="B27" s="5">
        <f t="shared" si="0"/>
        <v>0.10999999999999999</v>
      </c>
      <c r="C27" s="2">
        <f t="shared" si="1"/>
        <v>-15.428138145449823</v>
      </c>
    </row>
    <row r="28" spans="2:3" x14ac:dyDescent="0.2">
      <c r="B28" s="5">
        <f t="shared" si="0"/>
        <v>0.11999999999999998</v>
      </c>
      <c r="C28" s="2">
        <f t="shared" si="1"/>
        <v>-30.179482507288419</v>
      </c>
    </row>
    <row r="29" spans="2:3" x14ac:dyDescent="0.2">
      <c r="B29" s="5">
        <f t="shared" si="0"/>
        <v>0.12999999999999998</v>
      </c>
      <c r="C29" s="2">
        <f t="shared" si="1"/>
        <v>-44.285905369544601</v>
      </c>
    </row>
    <row r="30" spans="2:3" x14ac:dyDescent="0.2">
      <c r="B30" s="5">
        <f t="shared" si="0"/>
        <v>0.13999999999999999</v>
      </c>
      <c r="C30" s="2">
        <f t="shared" si="1"/>
        <v>-57.777561786892562</v>
      </c>
    </row>
    <row r="31" spans="2:3" x14ac:dyDescent="0.2">
      <c r="B31" s="5">
        <f t="shared" si="0"/>
        <v>0.15</v>
      </c>
      <c r="C31" s="2">
        <f t="shared" si="1"/>
        <v>-70.682994986438615</v>
      </c>
    </row>
    <row r="32" spans="2:3" x14ac:dyDescent="0.2">
      <c r="B32" s="5">
        <f t="shared" si="0"/>
        <v>0.16</v>
      </c>
      <c r="C32" s="2">
        <f t="shared" si="1"/>
        <v>-83.029234490958942</v>
      </c>
    </row>
    <row r="33" spans="2:3" x14ac:dyDescent="0.2">
      <c r="B33" s="5">
        <f t="shared" si="0"/>
        <v>0.17</v>
      </c>
      <c r="C33" s="2">
        <f t="shared" si="1"/>
        <v>-94.841887522141661</v>
      </c>
    </row>
    <row r="34" spans="2:3" x14ac:dyDescent="0.2">
      <c r="B34" s="5">
        <f t="shared" si="0"/>
        <v>0.18000000000000002</v>
      </c>
      <c r="C34" s="2">
        <f t="shared" si="1"/>
        <v>-106.14522419526813</v>
      </c>
    </row>
    <row r="35" spans="2:3" x14ac:dyDescent="0.2">
      <c r="B35" s="5">
        <f t="shared" si="0"/>
        <v>0.19000000000000003</v>
      </c>
      <c r="C35" s="2">
        <f t="shared" si="1"/>
        <v>-116.96225697397101</v>
      </c>
    </row>
    <row r="36" spans="2:3" x14ac:dyDescent="0.2">
      <c r="B36" s="5">
        <f t="shared" si="0"/>
        <v>0.20000000000000004</v>
      </c>
      <c r="C36" s="2">
        <f t="shared" si="1"/>
        <v>-127.31481481481477</v>
      </c>
    </row>
    <row r="37" spans="2:3" x14ac:dyDescent="0.2">
      <c r="B37" s="5">
        <f t="shared" si="0"/>
        <v>0.21000000000000005</v>
      </c>
      <c r="C37" s="2">
        <f t="shared" si="1"/>
        <v>-137.22361239607326</v>
      </c>
    </row>
    <row r="38" spans="2:3" x14ac:dyDescent="0.2">
      <c r="B38" s="5">
        <f t="shared" si="0"/>
        <v>0.22000000000000006</v>
      </c>
      <c r="C38" s="2">
        <f t="shared" si="1"/>
        <v>-146.70831479286809</v>
      </c>
    </row>
    <row r="39" spans="2:3" x14ac:dyDescent="0.2">
      <c r="B39" s="5">
        <f t="shared" si="0"/>
        <v>0.23000000000000007</v>
      </c>
      <c r="C39" s="2">
        <f t="shared" si="1"/>
        <v>-155.78759793150181</v>
      </c>
    </row>
    <row r="40" spans="2:3" x14ac:dyDescent="0.2">
      <c r="B40" s="5">
        <f t="shared" si="0"/>
        <v>0.24000000000000007</v>
      </c>
      <c r="C40" s="2">
        <f t="shared" si="1"/>
        <v>-164.47920512906583</v>
      </c>
    </row>
    <row r="41" spans="2:3" x14ac:dyDescent="0.2">
      <c r="B41" s="5">
        <f t="shared" si="0"/>
        <v>0.25000000000000006</v>
      </c>
      <c r="C41" s="2">
        <f t="shared" si="1"/>
        <v>-172.8</v>
      </c>
    </row>
    <row r="42" spans="2:3" x14ac:dyDescent="0.2">
      <c r="B42" s="5">
        <f t="shared" si="0"/>
        <v>0.26000000000000006</v>
      </c>
      <c r="C42" s="2">
        <f t="shared" si="1"/>
        <v>-180.76601598899413</v>
      </c>
    </row>
    <row r="43" spans="2:3" x14ac:dyDescent="0.2">
      <c r="B43" s="5">
        <f t="shared" si="0"/>
        <v>0.27000000000000007</v>
      </c>
      <c r="C43" s="2">
        <f t="shared" si="1"/>
        <v>-188.39250276925748</v>
      </c>
    </row>
    <row r="44" spans="2:3" x14ac:dyDescent="0.2">
      <c r="B44" s="5">
        <f t="shared" si="0"/>
        <v>0.28000000000000008</v>
      </c>
      <c r="C44" s="2">
        <f t="shared" si="1"/>
        <v>-195.6939697265625</v>
      </c>
    </row>
    <row r="45" spans="2:3" x14ac:dyDescent="0.2">
      <c r="B45" s="5">
        <f t="shared" si="0"/>
        <v>0.29000000000000009</v>
      </c>
      <c r="C45" s="2">
        <f t="shared" si="1"/>
        <v>-202.68422673242375</v>
      </c>
    </row>
    <row r="46" spans="2:3" x14ac:dyDescent="0.2">
      <c r="B46" s="5">
        <f t="shared" si="0"/>
        <v>0.3000000000000001</v>
      </c>
      <c r="C46" s="2">
        <f t="shared" si="1"/>
        <v>-209.37642239417397</v>
      </c>
    </row>
    <row r="47" spans="2:3" x14ac:dyDescent="0.2">
      <c r="B47" s="5">
        <f t="shared" si="0"/>
        <v>0.31000000000000011</v>
      </c>
      <c r="C47" s="2">
        <f t="shared" si="1"/>
        <v>-215.78307995539333</v>
      </c>
    </row>
    <row r="48" spans="2:3" x14ac:dyDescent="0.2">
      <c r="B48" s="5">
        <f t="shared" si="0"/>
        <v>0.32000000000000012</v>
      </c>
      <c r="C48" s="2">
        <f t="shared" si="1"/>
        <v>-221.91613100704012</v>
      </c>
    </row>
    <row r="49" spans="2:3" x14ac:dyDescent="0.2">
      <c r="B49" s="5">
        <f t="shared" ref="B49:B80" si="2">B48+1%</f>
        <v>0.33000000000000013</v>
      </c>
      <c r="C49" s="2">
        <f t="shared" ref="C49:C80" si="3">NPV(B49,$B$2:$B$4)</f>
        <v>-227.78694715759383</v>
      </c>
    </row>
    <row r="50" spans="2:3" x14ac:dyDescent="0.2">
      <c r="B50" s="5">
        <f t="shared" si="2"/>
        <v>0.34000000000000014</v>
      </c>
      <c r="C50" s="2">
        <f t="shared" si="3"/>
        <v>-233.40636979947675</v>
      </c>
    </row>
    <row r="51" spans="2:3" x14ac:dyDescent="0.2">
      <c r="B51" s="5">
        <f t="shared" si="2"/>
        <v>0.35000000000000014</v>
      </c>
      <c r="C51" s="2">
        <f t="shared" si="3"/>
        <v>-238.78473809886708</v>
      </c>
    </row>
    <row r="52" spans="2:3" x14ac:dyDescent="0.2">
      <c r="B52" s="5">
        <f t="shared" si="2"/>
        <v>0.36000000000000015</v>
      </c>
      <c r="C52" s="2">
        <f t="shared" si="3"/>
        <v>-243.93191532668442</v>
      </c>
    </row>
    <row r="53" spans="2:3" x14ac:dyDescent="0.2">
      <c r="B53" s="5">
        <f t="shared" si="2"/>
        <v>0.37000000000000016</v>
      </c>
      <c r="C53" s="2">
        <f t="shared" si="3"/>
        <v>-248.85731363993978</v>
      </c>
    </row>
    <row r="54" spans="2:3" x14ac:dyDescent="0.2">
      <c r="B54" s="5">
        <f t="shared" si="2"/>
        <v>0.38000000000000017</v>
      </c>
      <c r="C54" s="2">
        <f t="shared" si="3"/>
        <v>-253.56991741474363</v>
      </c>
    </row>
    <row r="55" spans="2:3" x14ac:dyDescent="0.2">
      <c r="B55" s="5">
        <f t="shared" si="2"/>
        <v>0.39000000000000018</v>
      </c>
      <c r="C55" s="2">
        <f t="shared" si="3"/>
        <v>-258.07830522497801</v>
      </c>
    </row>
    <row r="56" spans="2:3" x14ac:dyDescent="0.2">
      <c r="B56" s="5">
        <f t="shared" si="2"/>
        <v>0.40000000000000019</v>
      </c>
      <c r="C56" s="2">
        <f t="shared" si="3"/>
        <v>-262.39067055393593</v>
      </c>
    </row>
    <row r="57" spans="2:3" x14ac:dyDescent="0.2">
      <c r="B57" s="5">
        <f t="shared" si="2"/>
        <v>0.4100000000000002</v>
      </c>
      <c r="C57" s="2">
        <f t="shared" si="3"/>
        <v>-266.51484132003867</v>
      </c>
    </row>
    <row r="58" spans="2:3" x14ac:dyDescent="0.2">
      <c r="B58" s="5">
        <f t="shared" si="2"/>
        <v>0.42000000000000021</v>
      </c>
      <c r="C58" s="2">
        <f t="shared" si="3"/>
        <v>-270.45829829203353</v>
      </c>
    </row>
    <row r="59" spans="2:3" x14ac:dyDescent="0.2">
      <c r="B59" s="5">
        <f t="shared" si="2"/>
        <v>0.43000000000000022</v>
      </c>
      <c r="C59" s="2">
        <f t="shared" si="3"/>
        <v>-274.22819246380305</v>
      </c>
    </row>
    <row r="60" spans="2:3" x14ac:dyDescent="0.2">
      <c r="B60" s="5">
        <f t="shared" si="2"/>
        <v>0.44000000000000022</v>
      </c>
      <c r="C60" s="2">
        <f t="shared" si="3"/>
        <v>-277.83136145404666</v>
      </c>
    </row>
    <row r="61" spans="2:3" x14ac:dyDescent="0.2">
      <c r="B61" s="5">
        <f t="shared" si="2"/>
        <v>0.45000000000000023</v>
      </c>
      <c r="C61" s="2">
        <f t="shared" si="3"/>
        <v>-281.27434499159466</v>
      </c>
    </row>
    <row r="62" spans="2:3" x14ac:dyDescent="0.2">
      <c r="B62" s="5">
        <f t="shared" si="2"/>
        <v>0.46000000000000024</v>
      </c>
      <c r="C62" s="2">
        <f t="shared" si="3"/>
        <v>-284.56339954295066</v>
      </c>
    </row>
    <row r="63" spans="2:3" x14ac:dyDescent="0.2">
      <c r="B63" s="5">
        <f t="shared" si="2"/>
        <v>0.47000000000000025</v>
      </c>
      <c r="C63" s="2">
        <f t="shared" si="3"/>
        <v>-287.70451213480914</v>
      </c>
    </row>
    <row r="64" spans="2:3" x14ac:dyDescent="0.2">
      <c r="B64" s="5">
        <f t="shared" si="2"/>
        <v>0.48000000000000026</v>
      </c>
      <c r="C64" s="2">
        <f t="shared" si="3"/>
        <v>-290.70341342072538</v>
      </c>
    </row>
    <row r="65" spans="2:3" x14ac:dyDescent="0.2">
      <c r="B65" s="5">
        <f t="shared" si="2"/>
        <v>0.49000000000000027</v>
      </c>
      <c r="C65" s="2">
        <f t="shared" si="3"/>
        <v>-293.56559003781507</v>
      </c>
    </row>
    <row r="66" spans="2:3" x14ac:dyDescent="0.2">
      <c r="B66" s="5">
        <f t="shared" si="2"/>
        <v>0.50000000000000022</v>
      </c>
      <c r="C66" s="2">
        <f t="shared" si="3"/>
        <v>-296.29629629629642</v>
      </c>
    </row>
    <row r="67" spans="2:3" x14ac:dyDescent="0.2">
      <c r="B67" s="5">
        <f t="shared" si="2"/>
        <v>0.51000000000000023</v>
      </c>
      <c r="C67" s="2">
        <f t="shared" si="3"/>
        <v>-298.90056524185223</v>
      </c>
    </row>
    <row r="68" spans="2:3" x14ac:dyDescent="0.2">
      <c r="B68" s="5">
        <f t="shared" si="2"/>
        <v>0.52000000000000024</v>
      </c>
      <c r="C68" s="2">
        <f t="shared" si="3"/>
        <v>-301.38321912815286</v>
      </c>
    </row>
    <row r="69" spans="2:3" x14ac:dyDescent="0.2">
      <c r="B69" s="5">
        <f t="shared" si="2"/>
        <v>0.53000000000000025</v>
      </c>
      <c r="C69" s="2">
        <f t="shared" si="3"/>
        <v>-303.74887933443847</v>
      </c>
    </row>
    <row r="70" spans="2:3" x14ac:dyDescent="0.2">
      <c r="B70" s="5">
        <f t="shared" si="2"/>
        <v>0.54000000000000026</v>
      </c>
      <c r="C70" s="2">
        <f t="shared" si="3"/>
        <v>-306.00197576078841</v>
      </c>
    </row>
    <row r="71" spans="2:3" x14ac:dyDescent="0.2">
      <c r="B71" s="5">
        <f t="shared" si="2"/>
        <v>0.55000000000000027</v>
      </c>
      <c r="C71" s="2">
        <f t="shared" si="3"/>
        <v>-308.14675573159684</v>
      </c>
    </row>
    <row r="72" spans="2:3" x14ac:dyDescent="0.2">
      <c r="B72" s="5">
        <f t="shared" si="2"/>
        <v>0.56000000000000028</v>
      </c>
      <c r="C72" s="2">
        <f t="shared" si="3"/>
        <v>-310.18729243581316</v>
      </c>
    </row>
    <row r="73" spans="2:3" x14ac:dyDescent="0.2">
      <c r="B73" s="5">
        <f t="shared" si="2"/>
        <v>0.57000000000000028</v>
      </c>
      <c r="C73" s="2">
        <f t="shared" si="3"/>
        <v>-312.12749293068316</v>
      </c>
    </row>
    <row r="74" spans="2:3" x14ac:dyDescent="0.2">
      <c r="B74" s="5">
        <f t="shared" si="2"/>
        <v>0.58000000000000029</v>
      </c>
      <c r="C74" s="2">
        <f t="shared" si="3"/>
        <v>-313.97110573402915</v>
      </c>
    </row>
    <row r="75" spans="2:3" x14ac:dyDescent="0.2">
      <c r="B75" s="5">
        <f t="shared" si="2"/>
        <v>0.5900000000000003</v>
      </c>
      <c r="C75" s="2">
        <f t="shared" si="3"/>
        <v>-315.72172802853169</v>
      </c>
    </row>
    <row r="76" spans="2:3" x14ac:dyDescent="0.2">
      <c r="B76" s="5">
        <f t="shared" si="2"/>
        <v>0.60000000000000031</v>
      </c>
      <c r="C76" s="2">
        <f t="shared" si="3"/>
        <v>-317.38281250000006</v>
      </c>
    </row>
    <row r="77" spans="2:3" x14ac:dyDescent="0.2">
      <c r="B77" s="5">
        <f t="shared" si="2"/>
        <v>0.61000000000000032</v>
      </c>
      <c r="C77" s="2">
        <f t="shared" si="3"/>
        <v>-318.95767383025492</v>
      </c>
    </row>
    <row r="78" spans="2:3" x14ac:dyDescent="0.2">
      <c r="B78" s="5">
        <f t="shared" si="2"/>
        <v>0.62000000000000033</v>
      </c>
      <c r="C78" s="2">
        <f t="shared" si="3"/>
        <v>-320.44949486396428</v>
      </c>
    </row>
    <row r="79" spans="2:3" x14ac:dyDescent="0.2">
      <c r="B79" s="5">
        <f t="shared" si="2"/>
        <v>0.63000000000000034</v>
      </c>
      <c r="C79" s="2">
        <f t="shared" si="3"/>
        <v>-321.8613324675859</v>
      </c>
    </row>
    <row r="80" spans="2:3" x14ac:dyDescent="0.2">
      <c r="B80" s="5">
        <f t="shared" si="2"/>
        <v>0.64000000000000035</v>
      </c>
      <c r="C80" s="2">
        <f t="shared" si="3"/>
        <v>-323.19612309745946</v>
      </c>
    </row>
    <row r="81" spans="2:3" x14ac:dyDescent="0.2">
      <c r="B81" s="5">
        <f t="shared" ref="B81:B112" si="4">B80+1%</f>
        <v>0.65000000000000036</v>
      </c>
      <c r="C81" s="2">
        <f t="shared" ref="C81:C112" si="5">NPV(B81,$B$2:$B$4)</f>
        <v>-324.45668809305181</v>
      </c>
    </row>
    <row r="82" spans="2:3" x14ac:dyDescent="0.2">
      <c r="B82" s="5">
        <f t="shared" si="4"/>
        <v>0.66000000000000036</v>
      </c>
      <c r="C82" s="2">
        <f t="shared" si="5"/>
        <v>-325.64573871039391</v>
      </c>
    </row>
    <row r="83" spans="2:3" x14ac:dyDescent="0.2">
      <c r="B83" s="5">
        <f t="shared" si="4"/>
        <v>0.67000000000000037</v>
      </c>
      <c r="C83" s="2">
        <f t="shared" si="5"/>
        <v>-326.76588090984302</v>
      </c>
    </row>
    <row r="84" spans="2:3" x14ac:dyDescent="0.2">
      <c r="B84" s="5">
        <f t="shared" si="4"/>
        <v>0.68000000000000038</v>
      </c>
      <c r="C84" s="2">
        <f t="shared" si="5"/>
        <v>-327.8196199114567</v>
      </c>
    </row>
    <row r="85" spans="2:3" x14ac:dyDescent="0.2">
      <c r="B85" s="5">
        <f t="shared" si="4"/>
        <v>0.69000000000000039</v>
      </c>
      <c r="C85" s="2">
        <f t="shared" si="5"/>
        <v>-328.80936453047974</v>
      </c>
    </row>
    <row r="86" spans="2:3" x14ac:dyDescent="0.2">
      <c r="B86" s="5">
        <f t="shared" si="4"/>
        <v>0.7000000000000004</v>
      </c>
      <c r="C86" s="2">
        <f t="shared" si="5"/>
        <v>-329.73743130470189</v>
      </c>
    </row>
    <row r="87" spans="2:3" x14ac:dyDescent="0.2">
      <c r="B87" s="5">
        <f t="shared" si="4"/>
        <v>0.71000000000000041</v>
      </c>
      <c r="C87" s="2">
        <f t="shared" si="5"/>
        <v>-330.60604842475647</v>
      </c>
    </row>
    <row r="88" spans="2:3" x14ac:dyDescent="0.2">
      <c r="B88" s="5">
        <f t="shared" si="4"/>
        <v>0.72000000000000042</v>
      </c>
      <c r="C88" s="2">
        <f t="shared" si="5"/>
        <v>-331.41735947778193</v>
      </c>
    </row>
    <row r="89" spans="2:3" x14ac:dyDescent="0.2">
      <c r="B89" s="5">
        <f t="shared" si="4"/>
        <v>0.73000000000000043</v>
      </c>
      <c r="C89" s="2">
        <f t="shared" si="5"/>
        <v>-332.17342701426139</v>
      </c>
    </row>
    <row r="90" spans="2:3" x14ac:dyDescent="0.2">
      <c r="B90" s="5">
        <f t="shared" si="4"/>
        <v>0.74000000000000044</v>
      </c>
      <c r="C90" s="2">
        <f t="shared" si="5"/>
        <v>-332.87623594729257</v>
      </c>
    </row>
    <row r="91" spans="2:3" x14ac:dyDescent="0.2">
      <c r="B91" s="5">
        <f t="shared" si="4"/>
        <v>0.75000000000000044</v>
      </c>
      <c r="C91" s="2">
        <f t="shared" si="5"/>
        <v>-333.52769679300303</v>
      </c>
    </row>
    <row r="92" spans="2:3" x14ac:dyDescent="0.2">
      <c r="B92" s="5">
        <f t="shared" si="4"/>
        <v>0.76000000000000045</v>
      </c>
      <c r="C92" s="2">
        <f t="shared" si="5"/>
        <v>-334.12964876033067</v>
      </c>
    </row>
    <row r="93" spans="2:3" x14ac:dyDescent="0.2">
      <c r="B93" s="5">
        <f t="shared" si="4"/>
        <v>0.77000000000000046</v>
      </c>
      <c r="C93" s="2">
        <f t="shared" si="5"/>
        <v>-334.68386269792455</v>
      </c>
    </row>
    <row r="94" spans="2:3" x14ac:dyDescent="0.2">
      <c r="B94" s="5">
        <f t="shared" si="4"/>
        <v>0.78000000000000047</v>
      </c>
      <c r="C94" s="2">
        <f t="shared" si="5"/>
        <v>-335.19204390547674</v>
      </c>
    </row>
    <row r="95" spans="2:3" x14ac:dyDescent="0.2">
      <c r="B95" s="5">
        <f t="shared" si="4"/>
        <v>0.79000000000000048</v>
      </c>
      <c r="C95" s="2">
        <f t="shared" si="5"/>
        <v>-335.65583481639015</v>
      </c>
    </row>
    <row r="96" spans="2:3" x14ac:dyDescent="0.2">
      <c r="B96" s="5">
        <f t="shared" si="4"/>
        <v>0.80000000000000049</v>
      </c>
      <c r="C96" s="2">
        <f t="shared" si="5"/>
        <v>-336.07681755829907</v>
      </c>
    </row>
    <row r="97" spans="2:3" x14ac:dyDescent="0.2">
      <c r="B97" s="5">
        <f t="shared" si="4"/>
        <v>0.8100000000000005</v>
      </c>
      <c r="C97" s="2">
        <f t="shared" si="5"/>
        <v>-336.45651639759649</v>
      </c>
    </row>
    <row r="98" spans="2:3" x14ac:dyDescent="0.2">
      <c r="B98" s="5">
        <f t="shared" si="4"/>
        <v>0.82000000000000051</v>
      </c>
      <c r="C98" s="2">
        <f t="shared" si="5"/>
        <v>-336.79640007378208</v>
      </c>
    </row>
    <row r="99" spans="2:3" x14ac:dyDescent="0.2">
      <c r="B99" s="5">
        <f t="shared" si="4"/>
        <v>0.83000000000000052</v>
      </c>
      <c r="C99" s="2">
        <f t="shared" si="5"/>
        <v>-337.097884029125</v>
      </c>
    </row>
    <row r="100" spans="2:3" x14ac:dyDescent="0.2">
      <c r="B100" s="5">
        <f t="shared" si="4"/>
        <v>0.84000000000000052</v>
      </c>
      <c r="C100" s="2">
        <f t="shared" si="5"/>
        <v>-337.36233253883461</v>
      </c>
    </row>
    <row r="101" spans="2:3" x14ac:dyDescent="0.2">
      <c r="B101" s="5">
        <f t="shared" si="4"/>
        <v>0.85000000000000053</v>
      </c>
      <c r="C101" s="2">
        <f t="shared" si="5"/>
        <v>-337.59106074664879</v>
      </c>
    </row>
    <row r="102" spans="2:3" x14ac:dyDescent="0.2">
      <c r="B102" s="5">
        <f t="shared" si="4"/>
        <v>0.86000000000000054</v>
      </c>
      <c r="C102" s="2">
        <f t="shared" si="5"/>
        <v>-337.78533661048516</v>
      </c>
    </row>
    <row r="103" spans="2:3" x14ac:dyDescent="0.2">
      <c r="B103" s="5">
        <f t="shared" si="4"/>
        <v>0.87000000000000055</v>
      </c>
      <c r="C103" s="2">
        <f t="shared" si="5"/>
        <v>-337.94638276254767</v>
      </c>
    </row>
    <row r="104" spans="2:3" x14ac:dyDescent="0.2">
      <c r="B104" s="5">
        <f t="shared" si="4"/>
        <v>0.88000000000000056</v>
      </c>
      <c r="C104" s="2">
        <f t="shared" si="5"/>
        <v>-338.07537828804794</v>
      </c>
    </row>
    <row r="105" spans="2:3" x14ac:dyDescent="0.2">
      <c r="B105" s="5">
        <f t="shared" si="4"/>
        <v>0.89000000000000057</v>
      </c>
      <c r="C105" s="2">
        <f t="shared" si="5"/>
        <v>-338.17346042647694</v>
      </c>
    </row>
    <row r="106" spans="2:3" x14ac:dyDescent="0.2">
      <c r="B106" s="5">
        <f t="shared" si="4"/>
        <v>0.90000000000000058</v>
      </c>
      <c r="C106" s="2">
        <f t="shared" si="5"/>
        <v>-338.24172619915436</v>
      </c>
    </row>
    <row r="107" spans="2:3" x14ac:dyDescent="0.2">
      <c r="B107" s="5">
        <f t="shared" si="4"/>
        <v>0.91000000000000059</v>
      </c>
      <c r="C107" s="2">
        <f t="shared" si="5"/>
        <v>-338.28123396658748</v>
      </c>
    </row>
    <row r="108" spans="2:3" x14ac:dyDescent="0.2">
      <c r="B108" s="5">
        <f t="shared" si="4"/>
        <v>0.9200000000000006</v>
      </c>
      <c r="C108" s="2">
        <f t="shared" si="5"/>
        <v>-338.29300491898152</v>
      </c>
    </row>
    <row r="109" spans="2:3" x14ac:dyDescent="0.2">
      <c r="B109" s="5">
        <f t="shared" si="4"/>
        <v>0.9300000000000006</v>
      </c>
      <c r="C109" s="2">
        <f t="shared" si="5"/>
        <v>-338.27802450307456</v>
      </c>
    </row>
    <row r="110" spans="2:3" x14ac:dyDescent="0.2">
      <c r="B110" s="5">
        <f t="shared" si="4"/>
        <v>0.94000000000000061</v>
      </c>
      <c r="C110" s="2">
        <f t="shared" si="5"/>
        <v>-338.23724378830099</v>
      </c>
    </row>
    <row r="111" spans="2:3" x14ac:dyDescent="0.2">
      <c r="B111" s="5">
        <f t="shared" si="4"/>
        <v>0.95000000000000062</v>
      </c>
      <c r="C111" s="2">
        <f t="shared" si="5"/>
        <v>-338.17158077513108</v>
      </c>
    </row>
    <row r="112" spans="2:3" x14ac:dyDescent="0.2">
      <c r="B112" s="5">
        <f t="shared" si="4"/>
        <v>0.96000000000000063</v>
      </c>
      <c r="C112" s="2">
        <f t="shared" si="5"/>
        <v>-338.08192164829279</v>
      </c>
    </row>
    <row r="113" spans="2:3" x14ac:dyDescent="0.2">
      <c r="B113" s="5">
        <f t="shared" ref="B113:B127" si="6">B112+1%</f>
        <v>0.97000000000000064</v>
      </c>
      <c r="C113" s="2">
        <f t="shared" ref="C113:C127" si="7">NPV(B113,$B$2:$B$4)</f>
        <v>-337.9691219774366</v>
      </c>
    </row>
    <row r="114" spans="2:3" x14ac:dyDescent="0.2">
      <c r="B114" s="5">
        <f t="shared" si="6"/>
        <v>0.98000000000000065</v>
      </c>
      <c r="C114" s="2">
        <f t="shared" si="7"/>
        <v>-337.83400786767794</v>
      </c>
    </row>
    <row r="115" spans="2:3" x14ac:dyDescent="0.2">
      <c r="B115" s="5">
        <f t="shared" si="6"/>
        <v>0.99000000000000066</v>
      </c>
      <c r="C115" s="2">
        <f t="shared" si="7"/>
        <v>-337.67737706232731</v>
      </c>
    </row>
    <row r="116" spans="2:3" x14ac:dyDescent="0.2">
      <c r="B116" s="5">
        <f t="shared" si="6"/>
        <v>1.0000000000000007</v>
      </c>
      <c r="C116" s="2">
        <f t="shared" si="7"/>
        <v>-337.49999999999994</v>
      </c>
    </row>
    <row r="117" spans="2:3" x14ac:dyDescent="0.2">
      <c r="B117" s="5">
        <f t="shared" si="6"/>
        <v>1.0100000000000007</v>
      </c>
      <c r="C117" s="2">
        <f t="shared" si="7"/>
        <v>-337.30262082818746</v>
      </c>
    </row>
    <row r="118" spans="2:3" x14ac:dyDescent="0.2">
      <c r="B118" s="5">
        <f t="shared" si="6"/>
        <v>1.0200000000000007</v>
      </c>
      <c r="C118" s="2">
        <f t="shared" si="7"/>
        <v>-337.08595837527093</v>
      </c>
    </row>
    <row r="119" spans="2:3" x14ac:dyDescent="0.2">
      <c r="B119" s="5">
        <f t="shared" si="6"/>
        <v>1.0300000000000007</v>
      </c>
      <c r="C119" s="2">
        <f t="shared" si="7"/>
        <v>-336.85070708285417</v>
      </c>
    </row>
    <row r="120" spans="2:3" x14ac:dyDescent="0.2">
      <c r="B120" s="5">
        <f t="shared" si="6"/>
        <v>1.0400000000000007</v>
      </c>
      <c r="C120" s="2">
        <f t="shared" si="7"/>
        <v>-336.59753790020426</v>
      </c>
    </row>
    <row r="121" spans="2:3" x14ac:dyDescent="0.2">
      <c r="B121" s="5">
        <f t="shared" si="6"/>
        <v>1.0500000000000007</v>
      </c>
      <c r="C121" s="2">
        <f t="shared" si="7"/>
        <v>-336.32709914249648</v>
      </c>
    </row>
    <row r="122" spans="2:3" x14ac:dyDescent="0.2">
      <c r="B122" s="5">
        <f t="shared" si="6"/>
        <v>1.0600000000000007</v>
      </c>
      <c r="C122" s="2">
        <f t="shared" si="7"/>
        <v>-336.04001731448017</v>
      </c>
    </row>
    <row r="123" spans="2:3" x14ac:dyDescent="0.2">
      <c r="B123" s="5">
        <f t="shared" si="6"/>
        <v>1.0700000000000007</v>
      </c>
      <c r="C123" s="2">
        <f t="shared" si="7"/>
        <v>-335.73689790110041</v>
      </c>
    </row>
    <row r="124" spans="2:3" x14ac:dyDescent="0.2">
      <c r="B124" s="5">
        <f t="shared" si="6"/>
        <v>1.0800000000000007</v>
      </c>
      <c r="C124" s="2">
        <f t="shared" si="7"/>
        <v>-335.41832612653616</v>
      </c>
    </row>
    <row r="125" spans="2:3" x14ac:dyDescent="0.2">
      <c r="B125" s="5">
        <f t="shared" si="6"/>
        <v>1.0900000000000007</v>
      </c>
      <c r="C125" s="2">
        <f t="shared" si="7"/>
        <v>-335.08486768304653</v>
      </c>
    </row>
    <row r="126" spans="2:3" x14ac:dyDescent="0.2">
      <c r="B126" s="5">
        <f t="shared" si="6"/>
        <v>1.1000000000000008</v>
      </c>
      <c r="C126" s="2">
        <f t="shared" si="7"/>
        <v>-334.73706943094697</v>
      </c>
    </row>
    <row r="127" spans="2:3" x14ac:dyDescent="0.2">
      <c r="B127" s="5">
        <f t="shared" si="6"/>
        <v>1.1100000000000008</v>
      </c>
      <c r="C127" s="2">
        <f t="shared" si="7"/>
        <v>-334.37546007097558</v>
      </c>
    </row>
  </sheetData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 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H146"/>
  <sheetViews>
    <sheetView workbookViewId="0">
      <selection activeCell="B2" sqref="B2"/>
    </sheetView>
  </sheetViews>
  <sheetFormatPr baseColWidth="10" defaultRowHeight="12.75" x14ac:dyDescent="0.2"/>
  <sheetData>
    <row r="1" spans="1:8" x14ac:dyDescent="0.2">
      <c r="A1" s="19"/>
      <c r="B1" s="44" t="s">
        <v>82</v>
      </c>
      <c r="C1" s="19"/>
      <c r="D1" s="19"/>
      <c r="E1" s="19"/>
      <c r="F1" s="19"/>
      <c r="G1" s="19"/>
      <c r="H1" s="19"/>
    </row>
    <row r="2" spans="1:8" x14ac:dyDescent="0.2">
      <c r="A2" s="19" t="s">
        <v>60</v>
      </c>
      <c r="B2" s="52">
        <v>-1000</v>
      </c>
      <c r="C2" s="19"/>
      <c r="D2" s="19"/>
      <c r="E2" s="19"/>
      <c r="F2" s="19"/>
      <c r="G2" s="19"/>
      <c r="H2" s="19"/>
    </row>
    <row r="3" spans="1:8" x14ac:dyDescent="0.2">
      <c r="A3" s="19" t="s">
        <v>5</v>
      </c>
      <c r="B3" s="52">
        <v>2600</v>
      </c>
      <c r="C3" s="19"/>
      <c r="D3" s="19"/>
      <c r="E3" s="19"/>
      <c r="F3" s="19"/>
      <c r="G3" s="19"/>
      <c r="H3" s="19"/>
    </row>
    <row r="4" spans="1:8" x14ac:dyDescent="0.2">
      <c r="A4" s="19" t="s">
        <v>6</v>
      </c>
      <c r="B4" s="52">
        <v>-1650</v>
      </c>
      <c r="C4" s="19"/>
      <c r="D4" s="19"/>
      <c r="E4" s="19"/>
      <c r="F4" s="19"/>
      <c r="G4" s="19"/>
      <c r="H4" s="19"/>
    </row>
    <row r="5" spans="1:8" x14ac:dyDescent="0.2">
      <c r="A5" s="19"/>
      <c r="B5" s="19"/>
      <c r="C5" s="19"/>
      <c r="D5" s="19"/>
      <c r="E5" s="19"/>
      <c r="F5" s="19"/>
      <c r="G5" s="19"/>
      <c r="H5" s="19"/>
    </row>
    <row r="6" spans="1:8" x14ac:dyDescent="0.2">
      <c r="A6" s="19"/>
      <c r="B6" s="19"/>
      <c r="C6" s="19"/>
      <c r="D6" s="19"/>
      <c r="E6" s="19"/>
      <c r="F6" s="19"/>
      <c r="G6" s="19"/>
      <c r="H6" s="19"/>
    </row>
    <row r="7" spans="1:8" x14ac:dyDescent="0.2">
      <c r="A7" s="19"/>
      <c r="B7" s="19"/>
      <c r="C7" s="19"/>
      <c r="D7" s="19"/>
      <c r="E7" s="19"/>
      <c r="F7" s="19"/>
      <c r="G7" s="19"/>
      <c r="H7" s="19"/>
    </row>
    <row r="8" spans="1:8" x14ac:dyDescent="0.2">
      <c r="A8" s="19"/>
      <c r="B8" s="19"/>
      <c r="C8" s="19"/>
      <c r="D8" s="19"/>
      <c r="E8" s="19"/>
      <c r="F8" s="19"/>
      <c r="G8" s="19"/>
      <c r="H8" s="19"/>
    </row>
    <row r="9" spans="1:8" x14ac:dyDescent="0.2">
      <c r="A9" s="19"/>
      <c r="B9" s="19"/>
      <c r="C9" s="19"/>
      <c r="D9" s="19"/>
      <c r="E9" s="19"/>
      <c r="F9" s="19"/>
      <c r="G9" s="19"/>
      <c r="H9" s="19"/>
    </row>
    <row r="10" spans="1:8" x14ac:dyDescent="0.2">
      <c r="A10" s="19"/>
      <c r="B10" s="19"/>
      <c r="C10" s="19"/>
      <c r="D10" s="19"/>
      <c r="E10" s="19"/>
      <c r="F10" s="19"/>
      <c r="G10" s="19"/>
      <c r="H10" s="19"/>
    </row>
    <row r="11" spans="1:8" x14ac:dyDescent="0.2">
      <c r="A11" s="19"/>
      <c r="B11" s="19"/>
      <c r="C11" s="19"/>
      <c r="D11" s="19"/>
      <c r="E11" s="19"/>
      <c r="F11" s="19"/>
      <c r="G11" s="19"/>
      <c r="H11" s="19"/>
    </row>
    <row r="12" spans="1:8" x14ac:dyDescent="0.2">
      <c r="A12" s="19"/>
      <c r="B12" s="19"/>
      <c r="C12" s="19"/>
      <c r="D12" s="19"/>
      <c r="E12" s="19"/>
      <c r="F12" s="19"/>
      <c r="G12" s="19"/>
      <c r="H12" s="19"/>
    </row>
    <row r="13" spans="1:8" x14ac:dyDescent="0.2">
      <c r="A13" s="19"/>
      <c r="B13" s="19"/>
      <c r="C13" s="19"/>
      <c r="D13" s="19"/>
      <c r="E13" s="19"/>
      <c r="F13" s="19"/>
      <c r="G13" s="19"/>
      <c r="H13" s="19"/>
    </row>
    <row r="14" spans="1:8" x14ac:dyDescent="0.2">
      <c r="A14" s="19"/>
      <c r="B14" s="19"/>
      <c r="C14" s="19"/>
      <c r="D14" s="19"/>
      <c r="E14" s="19"/>
      <c r="F14" s="19"/>
      <c r="G14" s="19"/>
      <c r="H14" s="19"/>
    </row>
    <row r="15" spans="1:8" x14ac:dyDescent="0.2">
      <c r="A15" s="19"/>
      <c r="B15" s="19"/>
      <c r="C15" s="19"/>
      <c r="D15" s="19"/>
      <c r="E15" s="19"/>
      <c r="F15" s="19"/>
      <c r="G15" s="19"/>
      <c r="H15" s="19"/>
    </row>
    <row r="16" spans="1:8" x14ac:dyDescent="0.2">
      <c r="A16" s="19"/>
      <c r="B16" s="19"/>
      <c r="C16" s="19"/>
      <c r="D16" s="19"/>
      <c r="E16" s="19"/>
      <c r="F16" s="19"/>
      <c r="G16" s="19"/>
      <c r="H16" s="19"/>
    </row>
    <row r="17" spans="1:8" x14ac:dyDescent="0.2">
      <c r="A17" s="19"/>
      <c r="B17" s="19"/>
      <c r="C17" s="19"/>
      <c r="D17" s="19"/>
      <c r="E17" s="19"/>
      <c r="F17" s="19"/>
      <c r="G17" s="19"/>
      <c r="H17" s="19"/>
    </row>
    <row r="18" spans="1:8" x14ac:dyDescent="0.2">
      <c r="A18" s="19"/>
      <c r="B18" s="19"/>
      <c r="C18" s="19"/>
      <c r="D18" s="19"/>
      <c r="E18" s="19"/>
      <c r="F18" s="19"/>
      <c r="G18" s="19"/>
      <c r="H18" s="19"/>
    </row>
    <row r="19" spans="1:8" x14ac:dyDescent="0.2">
      <c r="A19" s="19"/>
      <c r="B19" s="19"/>
      <c r="C19" s="19"/>
      <c r="D19" s="19"/>
      <c r="E19" s="19"/>
      <c r="F19" s="19"/>
      <c r="G19" s="19"/>
      <c r="H19" s="19"/>
    </row>
    <row r="20" spans="1:8" x14ac:dyDescent="0.2">
      <c r="A20" s="19"/>
      <c r="B20" s="19"/>
      <c r="C20" s="19"/>
      <c r="D20" s="19"/>
      <c r="E20" s="19"/>
      <c r="F20" s="19"/>
      <c r="G20" s="19"/>
      <c r="H20" s="19"/>
    </row>
    <row r="27" spans="1:8" x14ac:dyDescent="0.2">
      <c r="A27" t="s">
        <v>115</v>
      </c>
    </row>
    <row r="28" spans="1:8" x14ac:dyDescent="0.2">
      <c r="A28" t="s">
        <v>112</v>
      </c>
      <c r="B28" s="5">
        <f>IRR(B2:B4,1%)</f>
        <v>9.9999999999937694E-2</v>
      </c>
    </row>
    <row r="29" spans="1:8" x14ac:dyDescent="0.2">
      <c r="B29" s="5">
        <f>IRR(B2:B4,100%)</f>
        <v>0.50000000000003331</v>
      </c>
    </row>
    <row r="34" spans="2:3" x14ac:dyDescent="0.2">
      <c r="B34" t="s">
        <v>113</v>
      </c>
      <c r="C34" t="s">
        <v>114</v>
      </c>
    </row>
    <row r="35" spans="2:3" x14ac:dyDescent="0.2">
      <c r="B35" s="1">
        <v>0</v>
      </c>
      <c r="C35" s="2">
        <f>NPV(B35,$B$2:$B$4)</f>
        <v>-50</v>
      </c>
    </row>
    <row r="36" spans="2:3" x14ac:dyDescent="0.2">
      <c r="B36" s="5">
        <f>B35+1%</f>
        <v>0.01</v>
      </c>
      <c r="C36" s="2">
        <f>NPV(B36,$B$2:$B$4)</f>
        <v>-42.803025523609435</v>
      </c>
    </row>
    <row r="37" spans="2:3" x14ac:dyDescent="0.2">
      <c r="B37" s="5">
        <f t="shared" ref="B37:B52" si="0">B36+1%</f>
        <v>0.02</v>
      </c>
      <c r="C37" s="2">
        <f t="shared" ref="C37:C52" si="1">NPV(B37,$B$2:$B$4)</f>
        <v>-36.185177646606526</v>
      </c>
    </row>
    <row r="38" spans="2:3" x14ac:dyDescent="0.2">
      <c r="B38" s="5">
        <f t="shared" si="0"/>
        <v>0.03</v>
      </c>
      <c r="C38" s="2">
        <f t="shared" si="1"/>
        <v>-30.108160592719276</v>
      </c>
    </row>
    <row r="39" spans="2:3" x14ac:dyDescent="0.2">
      <c r="B39" s="5">
        <f t="shared" si="0"/>
        <v>0.04</v>
      </c>
      <c r="C39" s="2">
        <f t="shared" si="1"/>
        <v>-24.536299499317018</v>
      </c>
    </row>
    <row r="40" spans="2:3" x14ac:dyDescent="0.2">
      <c r="B40" s="5">
        <f t="shared" si="0"/>
        <v>0.05</v>
      </c>
      <c r="C40" s="2">
        <f t="shared" si="1"/>
        <v>-19.436345966958122</v>
      </c>
    </row>
    <row r="41" spans="2:3" x14ac:dyDescent="0.2">
      <c r="B41" s="5">
        <f t="shared" si="0"/>
        <v>6.0000000000000005E-2</v>
      </c>
      <c r="C41" s="2">
        <f t="shared" si="1"/>
        <v>-14.777299381368488</v>
      </c>
    </row>
    <row r="42" spans="2:3" x14ac:dyDescent="0.2">
      <c r="B42" s="5">
        <f t="shared" si="0"/>
        <v>7.0000000000000007E-2</v>
      </c>
      <c r="C42" s="2">
        <f t="shared" si="1"/>
        <v>-10.530242611892</v>
      </c>
    </row>
    <row r="43" spans="2:3" x14ac:dyDescent="0.2">
      <c r="B43" s="5">
        <f t="shared" si="0"/>
        <v>0.08</v>
      </c>
      <c r="C43" s="2">
        <f t="shared" si="1"/>
        <v>-6.6681908245693977</v>
      </c>
    </row>
    <row r="44" spans="2:3" x14ac:dyDescent="0.2">
      <c r="B44" s="5">
        <f t="shared" si="0"/>
        <v>0.09</v>
      </c>
      <c r="C44" s="2">
        <f t="shared" si="1"/>
        <v>-3.1659522682502934</v>
      </c>
    </row>
    <row r="45" spans="2:3" x14ac:dyDescent="0.2">
      <c r="B45" s="5">
        <f t="shared" si="0"/>
        <v>9.9999999999999992E-2</v>
      </c>
      <c r="C45" s="2">
        <f t="shared" si="1"/>
        <v>0</v>
      </c>
    </row>
    <row r="46" spans="2:3" x14ac:dyDescent="0.2">
      <c r="B46" s="5">
        <f t="shared" si="0"/>
        <v>0.10999999999999999</v>
      </c>
      <c r="C46" s="2">
        <f t="shared" si="1"/>
        <v>2.8516463870739641</v>
      </c>
    </row>
    <row r="47" spans="2:3" x14ac:dyDescent="0.2">
      <c r="B47" s="5">
        <f t="shared" si="0"/>
        <v>0.11999999999999998</v>
      </c>
      <c r="C47" s="2">
        <f t="shared" si="1"/>
        <v>5.4095298833818877</v>
      </c>
    </row>
    <row r="48" spans="2:3" x14ac:dyDescent="0.2">
      <c r="B48" s="5">
        <f t="shared" si="0"/>
        <v>0.12999999999999998</v>
      </c>
      <c r="C48" s="2">
        <f t="shared" si="1"/>
        <v>7.6928568012823817</v>
      </c>
    </row>
    <row r="49" spans="2:3" x14ac:dyDescent="0.2">
      <c r="B49" s="5">
        <f t="shared" si="0"/>
        <v>0.13999999999999999</v>
      </c>
      <c r="C49" s="2">
        <f t="shared" si="1"/>
        <v>9.7195898333091861</v>
      </c>
    </row>
    <row r="50" spans="2:3" x14ac:dyDescent="0.2">
      <c r="B50" s="5">
        <f t="shared" si="0"/>
        <v>0.15</v>
      </c>
      <c r="C50" s="2">
        <f t="shared" si="1"/>
        <v>11.506534067559741</v>
      </c>
    </row>
    <row r="51" spans="2:3" x14ac:dyDescent="0.2">
      <c r="B51" s="5">
        <f t="shared" si="0"/>
        <v>0.16</v>
      </c>
      <c r="C51" s="2">
        <f t="shared" si="1"/>
        <v>13.069416540243679</v>
      </c>
    </row>
    <row r="52" spans="2:3" x14ac:dyDescent="0.2">
      <c r="B52" s="5">
        <f t="shared" si="0"/>
        <v>0.17</v>
      </c>
      <c r="C52" s="2">
        <f t="shared" si="1"/>
        <v>14.422959853597341</v>
      </c>
    </row>
    <row r="53" spans="2:3" x14ac:dyDescent="0.2">
      <c r="B53" s="5">
        <f t="shared" ref="B53:B68" si="2">B52+1%</f>
        <v>0.18000000000000002</v>
      </c>
      <c r="C53" s="2">
        <f t="shared" ref="C53:C68" si="3">NPV(B53,$B$2:$B$4)</f>
        <v>15.580950340590096</v>
      </c>
    </row>
    <row r="54" spans="2:3" x14ac:dyDescent="0.2">
      <c r="B54" s="5">
        <f t="shared" si="2"/>
        <v>0.19000000000000003</v>
      </c>
      <c r="C54" s="2">
        <f t="shared" si="3"/>
        <v>16.556301215493722</v>
      </c>
    </row>
    <row r="55" spans="2:3" x14ac:dyDescent="0.2">
      <c r="B55" s="5">
        <f t="shared" si="2"/>
        <v>0.20000000000000004</v>
      </c>
      <c r="C55" s="2">
        <f t="shared" si="3"/>
        <v>17.361111111111239</v>
      </c>
    </row>
    <row r="56" spans="2:3" x14ac:dyDescent="0.2">
      <c r="B56" s="5">
        <f t="shared" si="2"/>
        <v>0.21000000000000005</v>
      </c>
      <c r="C56" s="2">
        <f t="shared" si="3"/>
        <v>18.006718368715418</v>
      </c>
    </row>
    <row r="57" spans="2:3" x14ac:dyDescent="0.2">
      <c r="B57" s="5">
        <f t="shared" si="2"/>
        <v>0.22000000000000006</v>
      </c>
      <c r="C57" s="2">
        <f t="shared" si="3"/>
        <v>18.503751415316781</v>
      </c>
    </row>
    <row r="58" spans="2:3" x14ac:dyDescent="0.2">
      <c r="B58" s="5">
        <f t="shared" si="2"/>
        <v>0.23000000000000007</v>
      </c>
      <c r="C58" s="2">
        <f t="shared" si="3"/>
        <v>18.862175534307397</v>
      </c>
    </row>
    <row r="59" spans="2:3" x14ac:dyDescent="0.2">
      <c r="B59" s="5">
        <f t="shared" si="2"/>
        <v>0.24000000000000007</v>
      </c>
      <c r="C59" s="2">
        <f t="shared" si="3"/>
        <v>19.091336309623976</v>
      </c>
    </row>
    <row r="60" spans="2:3" x14ac:dyDescent="0.2">
      <c r="B60" s="5">
        <f t="shared" si="2"/>
        <v>0.25000000000000006</v>
      </c>
      <c r="C60" s="2">
        <f t="shared" si="3"/>
        <v>19.2</v>
      </c>
    </row>
    <row r="61" spans="2:3" x14ac:dyDescent="0.2">
      <c r="B61" s="5">
        <f t="shared" si="2"/>
        <v>0.26000000000000006</v>
      </c>
      <c r="C61" s="2">
        <f t="shared" si="3"/>
        <v>19.196391078477454</v>
      </c>
    </row>
    <row r="62" spans="2:3" x14ac:dyDescent="0.2">
      <c r="B62" s="5">
        <f t="shared" si="2"/>
        <v>0.27000000000000007</v>
      </c>
      <c r="C62" s="2">
        <f t="shared" si="3"/>
        <v>19.088227152832225</v>
      </c>
    </row>
    <row r="63" spans="2:3" x14ac:dyDescent="0.2">
      <c r="B63" s="5">
        <f t="shared" si="2"/>
        <v>0.28000000000000008</v>
      </c>
      <c r="C63" s="2">
        <f t="shared" si="3"/>
        <v>18.88275146484375</v>
      </c>
    </row>
    <row r="64" spans="2:3" x14ac:dyDescent="0.2">
      <c r="B64" s="5">
        <f t="shared" si="2"/>
        <v>0.29000000000000009</v>
      </c>
      <c r="C64" s="2">
        <f t="shared" si="3"/>
        <v>18.586763150134868</v>
      </c>
    </row>
    <row r="65" spans="2:3" x14ac:dyDescent="0.2">
      <c r="B65" s="5">
        <f t="shared" si="2"/>
        <v>0.3000000000000001</v>
      </c>
      <c r="C65" s="2">
        <f t="shared" si="3"/>
        <v>18.206645425580412</v>
      </c>
    </row>
    <row r="66" spans="2:3" x14ac:dyDescent="0.2">
      <c r="B66" s="5">
        <f t="shared" si="2"/>
        <v>0.31000000000000011</v>
      </c>
      <c r="C66" s="2">
        <f t="shared" si="3"/>
        <v>17.748391857802925</v>
      </c>
    </row>
    <row r="67" spans="2:3" x14ac:dyDescent="0.2">
      <c r="B67" s="5">
        <f t="shared" si="2"/>
        <v>0.32000000000000012</v>
      </c>
      <c r="C67" s="2">
        <f t="shared" si="3"/>
        <v>17.217630853994418</v>
      </c>
    </row>
    <row r="68" spans="2:3" x14ac:dyDescent="0.2">
      <c r="B68" s="5">
        <f t="shared" si="2"/>
        <v>0.33000000000000013</v>
      </c>
      <c r="C68" s="2">
        <f t="shared" si="3"/>
        <v>16.619648505060386</v>
      </c>
    </row>
    <row r="69" spans="2:3" x14ac:dyDescent="0.2">
      <c r="B69" s="5">
        <f t="shared" ref="B69:B84" si="4">B68+1%</f>
        <v>0.34000000000000014</v>
      </c>
      <c r="C69" s="2">
        <f t="shared" ref="C69:C84" si="5">NPV(B69,$B$2:$B$4)</f>
        <v>15.959409900819024</v>
      </c>
    </row>
    <row r="70" spans="2:3" x14ac:dyDescent="0.2">
      <c r="B70" s="5">
        <f t="shared" si="4"/>
        <v>0.35000000000000014</v>
      </c>
      <c r="C70" s="2">
        <f t="shared" si="5"/>
        <v>15.241579027587315</v>
      </c>
    </row>
    <row r="71" spans="2:3" x14ac:dyDescent="0.2">
      <c r="B71" s="5">
        <f t="shared" si="4"/>
        <v>0.36000000000000015</v>
      </c>
      <c r="C71" s="2">
        <f t="shared" si="5"/>
        <v>14.470537349887989</v>
      </c>
    </row>
    <row r="72" spans="2:3" x14ac:dyDescent="0.2">
      <c r="B72" s="5">
        <f t="shared" si="4"/>
        <v>0.37000000000000016</v>
      </c>
      <c r="C72" s="2">
        <f t="shared" si="5"/>
        <v>13.650401170123279</v>
      </c>
    </row>
    <row r="73" spans="2:3" x14ac:dyDescent="0.2">
      <c r="B73" s="5">
        <f t="shared" si="4"/>
        <v>0.38000000000000017</v>
      </c>
      <c r="C73" s="2">
        <f t="shared" si="5"/>
        <v>12.785037852844127</v>
      </c>
    </row>
    <row r="74" spans="2:3" x14ac:dyDescent="0.2">
      <c r="B74" s="5">
        <f t="shared" si="4"/>
        <v>0.39000000000000018</v>
      </c>
      <c r="C74" s="2">
        <f t="shared" si="5"/>
        <v>11.878080993618179</v>
      </c>
    </row>
    <row r="75" spans="2:3" x14ac:dyDescent="0.2">
      <c r="B75" s="5">
        <f t="shared" si="4"/>
        <v>0.40000000000000019</v>
      </c>
      <c r="C75" s="2">
        <f t="shared" si="5"/>
        <v>10.932944606413944</v>
      </c>
    </row>
    <row r="76" spans="2:3" x14ac:dyDescent="0.2">
      <c r="B76" s="5">
        <f t="shared" si="4"/>
        <v>0.4100000000000002</v>
      </c>
      <c r="C76" s="2">
        <f t="shared" si="5"/>
        <v>9.9528363978436509</v>
      </c>
    </row>
    <row r="77" spans="2:3" x14ac:dyDescent="0.2">
      <c r="B77" s="5">
        <f t="shared" si="4"/>
        <v>0.42000000000000021</v>
      </c>
      <c r="C77" s="2">
        <f t="shared" si="5"/>
        <v>8.940770191472124</v>
      </c>
    </row>
    <row r="78" spans="2:3" x14ac:dyDescent="0.2">
      <c r="B78" s="5">
        <f t="shared" si="4"/>
        <v>0.43000000000000022</v>
      </c>
      <c r="C78" s="2">
        <f t="shared" si="5"/>
        <v>7.8995775606857084</v>
      </c>
    </row>
    <row r="79" spans="2:3" x14ac:dyDescent="0.2">
      <c r="B79" s="5">
        <f t="shared" si="4"/>
        <v>0.44000000000000022</v>
      </c>
      <c r="C79" s="2">
        <f t="shared" si="5"/>
        <v>6.8319187242798138</v>
      </c>
    </row>
    <row r="80" spans="2:3" x14ac:dyDescent="0.2">
      <c r="B80" s="5">
        <f t="shared" si="4"/>
        <v>0.45000000000000023</v>
      </c>
      <c r="C80" s="2">
        <f t="shared" si="5"/>
        <v>5.7402927549304836</v>
      </c>
    </row>
    <row r="81" spans="2:3" x14ac:dyDescent="0.2">
      <c r="B81" s="5">
        <f t="shared" si="4"/>
        <v>0.46000000000000024</v>
      </c>
      <c r="C81" s="2">
        <f t="shared" si="5"/>
        <v>4.6270471470398649</v>
      </c>
    </row>
    <row r="82" spans="2:3" x14ac:dyDescent="0.2">
      <c r="B82" s="5">
        <f t="shared" si="4"/>
        <v>0.47000000000000025</v>
      </c>
      <c r="C82" s="2">
        <f t="shared" si="5"/>
        <v>3.4943867870624885</v>
      </c>
    </row>
    <row r="83" spans="2:3" x14ac:dyDescent="0.2">
      <c r="B83" s="5">
        <f t="shared" si="4"/>
        <v>0.48000000000000026</v>
      </c>
      <c r="C83" s="2">
        <f t="shared" si="5"/>
        <v>2.3443823662961294</v>
      </c>
    </row>
    <row r="84" spans="2:3" x14ac:dyDescent="0.2">
      <c r="B84" s="5">
        <f t="shared" si="4"/>
        <v>0.49000000000000027</v>
      </c>
      <c r="C84" s="2">
        <f t="shared" si="5"/>
        <v>1.1789782732442735</v>
      </c>
    </row>
    <row r="85" spans="2:3" x14ac:dyDescent="0.2">
      <c r="B85" s="5">
        <f>B84+1%</f>
        <v>0.50000000000000022</v>
      </c>
      <c r="C85" s="2">
        <f t="shared" ref="C85:C100" si="6">NPV(B85,$B$2:$B$4)</f>
        <v>0</v>
      </c>
    </row>
    <row r="86" spans="2:3" x14ac:dyDescent="0.2">
      <c r="B86" s="5">
        <f t="shared" ref="B86:B101" si="7">B85+1%</f>
        <v>0.51000000000000023</v>
      </c>
      <c r="C86" s="2">
        <f t="shared" si="6"/>
        <v>-1.1908389053460358</v>
      </c>
    </row>
    <row r="87" spans="2:3" x14ac:dyDescent="0.2">
      <c r="B87" s="5">
        <f t="shared" si="7"/>
        <v>0.52000000000000024</v>
      </c>
      <c r="C87" s="2">
        <f t="shared" si="6"/>
        <v>-2.3919303105409693</v>
      </c>
    </row>
    <row r="88" spans="2:3" x14ac:dyDescent="0.2">
      <c r="B88" s="5">
        <f t="shared" si="7"/>
        <v>0.53000000000000025</v>
      </c>
      <c r="C88" s="2">
        <f t="shared" si="6"/>
        <v>-3.6017653676020434</v>
      </c>
    </row>
    <row r="89" spans="2:3" x14ac:dyDescent="0.2">
      <c r="B89" s="5">
        <f t="shared" si="7"/>
        <v>0.54000000000000026</v>
      </c>
      <c r="C89" s="2">
        <f t="shared" si="6"/>
        <v>-4.8189287521384578</v>
      </c>
    </row>
    <row r="90" spans="2:3" x14ac:dyDescent="0.2">
      <c r="B90" s="5">
        <f t="shared" si="7"/>
        <v>0.55000000000000027</v>
      </c>
      <c r="C90" s="2">
        <f t="shared" si="6"/>
        <v>-6.0420932496392572</v>
      </c>
    </row>
    <row r="91" spans="2:3" x14ac:dyDescent="0.2">
      <c r="B91" s="5">
        <f t="shared" si="7"/>
        <v>0.56000000000000028</v>
      </c>
      <c r="C91" s="2">
        <f t="shared" si="6"/>
        <v>-7.2700146664645278</v>
      </c>
    </row>
    <row r="92" spans="2:3" x14ac:dyDescent="0.2">
      <c r="B92" s="5">
        <f t="shared" si="7"/>
        <v>0.57000000000000028</v>
      </c>
      <c r="C92" s="2">
        <f t="shared" si="6"/>
        <v>-8.5015270448046856</v>
      </c>
    </row>
    <row r="93" spans="2:3" x14ac:dyDescent="0.2">
      <c r="B93" s="5">
        <f t="shared" si="7"/>
        <v>0.58000000000000029</v>
      </c>
      <c r="C93" s="2">
        <f t="shared" si="6"/>
        <v>-9.7355381622955495</v>
      </c>
    </row>
    <row r="94" spans="2:3" x14ac:dyDescent="0.2">
      <c r="B94" s="5">
        <f t="shared" si="7"/>
        <v>0.5900000000000003</v>
      </c>
      <c r="C94" s="2">
        <f t="shared" si="6"/>
        <v>-10.971025298288767</v>
      </c>
    </row>
    <row r="95" spans="2:3" x14ac:dyDescent="0.2">
      <c r="B95" s="5">
        <f t="shared" si="7"/>
        <v>0.60000000000000031</v>
      </c>
      <c r="C95" s="2">
        <f t="shared" si="6"/>
        <v>-12.207031249999998</v>
      </c>
    </row>
    <row r="96" spans="2:3" x14ac:dyDescent="0.2">
      <c r="B96" s="5">
        <f t="shared" si="7"/>
        <v>0.61000000000000032</v>
      </c>
      <c r="C96" s="2">
        <f t="shared" si="6"/>
        <v>-13.442660582884313</v>
      </c>
    </row>
    <row r="97" spans="2:3" x14ac:dyDescent="0.2">
      <c r="B97" s="5">
        <f t="shared" si="7"/>
        <v>0.62000000000000033</v>
      </c>
      <c r="C97" s="2">
        <f t="shared" si="6"/>
        <v>-14.677076100639674</v>
      </c>
    </row>
    <row r="98" spans="2:3" x14ac:dyDescent="0.2">
      <c r="B98" s="5">
        <f t="shared" si="7"/>
        <v>0.63000000000000034</v>
      </c>
      <c r="C98" s="2">
        <f t="shared" si="6"/>
        <v>-15.909495521211499</v>
      </c>
    </row>
    <row r="99" spans="2:3" x14ac:dyDescent="0.2">
      <c r="B99" s="5">
        <f t="shared" si="7"/>
        <v>0.64000000000000035</v>
      </c>
      <c r="C99" s="2">
        <f t="shared" si="6"/>
        <v>-17.139188346077415</v>
      </c>
    </row>
    <row r="100" spans="2:3" x14ac:dyDescent="0.2">
      <c r="B100" s="5">
        <f t="shared" si="7"/>
        <v>0.65000000000000036</v>
      </c>
      <c r="C100" s="2">
        <f t="shared" si="6"/>
        <v>-18.365472910927423</v>
      </c>
    </row>
    <row r="101" spans="2:3" x14ac:dyDescent="0.2">
      <c r="B101" s="5">
        <f t="shared" si="7"/>
        <v>0.66000000000000036</v>
      </c>
      <c r="C101" s="2">
        <f t="shared" ref="C101:C116" si="8">NPV(B101,$B$2:$B$4)</f>
        <v>-19.587713606640257</v>
      </c>
    </row>
    <row r="102" spans="2:3" x14ac:dyDescent="0.2">
      <c r="B102" s="5">
        <f t="shared" ref="B102:B117" si="9">B101+1%</f>
        <v>0.67000000000000037</v>
      </c>
      <c r="C102" s="2">
        <f t="shared" si="8"/>
        <v>-20.805318260177302</v>
      </c>
    </row>
    <row r="103" spans="2:3" x14ac:dyDescent="0.2">
      <c r="B103" s="5">
        <f t="shared" si="9"/>
        <v>0.68000000000000038</v>
      </c>
      <c r="C103" s="2">
        <f t="shared" si="8"/>
        <v>-22.017735665694914</v>
      </c>
    </row>
    <row r="104" spans="2:3" x14ac:dyDescent="0.2">
      <c r="B104" s="5">
        <f t="shared" si="9"/>
        <v>0.69000000000000039</v>
      </c>
      <c r="C104" s="2">
        <f t="shared" si="8"/>
        <v>-23.224453256799723</v>
      </c>
    </row>
    <row r="105" spans="2:3" x14ac:dyDescent="0.2">
      <c r="B105" s="5">
        <f t="shared" si="9"/>
        <v>0.7000000000000004</v>
      </c>
      <c r="C105" s="2">
        <f t="shared" si="8"/>
        <v>-24.424994911459414</v>
      </c>
    </row>
    <row r="106" spans="2:3" x14ac:dyDescent="0.2">
      <c r="B106" s="5">
        <f t="shared" si="9"/>
        <v>0.71000000000000041</v>
      </c>
      <c r="C106" s="2">
        <f t="shared" si="8"/>
        <v>-25.618918881623312</v>
      </c>
    </row>
    <row r="107" spans="2:3" x14ac:dyDescent="0.2">
      <c r="B107" s="5">
        <f t="shared" si="9"/>
        <v>0.72000000000000042</v>
      </c>
      <c r="C107" s="2">
        <f t="shared" si="8"/>
        <v>-26.805815840114757</v>
      </c>
    </row>
    <row r="108" spans="2:3" x14ac:dyDescent="0.2">
      <c r="B108" s="5">
        <f t="shared" si="9"/>
        <v>0.73000000000000043</v>
      </c>
      <c r="C108" s="2">
        <f t="shared" si="8"/>
        <v>-27.985307037831603</v>
      </c>
    </row>
    <row r="109" spans="2:3" x14ac:dyDescent="0.2">
      <c r="B109" s="5">
        <f t="shared" si="9"/>
        <v>0.74000000000000044</v>
      </c>
      <c r="C109" s="2">
        <f t="shared" si="8"/>
        <v>-29.157042564726453</v>
      </c>
    </row>
    <row r="110" spans="2:3" x14ac:dyDescent="0.2">
      <c r="B110" s="5">
        <f t="shared" si="9"/>
        <v>0.75000000000000044</v>
      </c>
      <c r="C110" s="2">
        <f t="shared" si="8"/>
        <v>-30.32069970845486</v>
      </c>
    </row>
    <row r="111" spans="2:3" x14ac:dyDescent="0.2">
      <c r="B111" s="5">
        <f t="shared" si="9"/>
        <v>0.76000000000000045</v>
      </c>
      <c r="C111" s="2">
        <f t="shared" si="8"/>
        <v>-31.475981404958787</v>
      </c>
    </row>
    <row r="112" spans="2:3" x14ac:dyDescent="0.2">
      <c r="B112" s="5">
        <f t="shared" si="9"/>
        <v>0.77000000000000046</v>
      </c>
      <c r="C112" s="2">
        <f t="shared" si="8"/>
        <v>-32.622614775610039</v>
      </c>
    </row>
    <row r="113" spans="2:3" x14ac:dyDescent="0.2">
      <c r="B113" s="5">
        <f t="shared" si="9"/>
        <v>0.78000000000000047</v>
      </c>
      <c r="C113" s="2">
        <f t="shared" si="8"/>
        <v>-33.760349745875438</v>
      </c>
    </row>
    <row r="114" spans="2:3" x14ac:dyDescent="0.2">
      <c r="B114" s="5">
        <f t="shared" si="9"/>
        <v>0.79000000000000048</v>
      </c>
      <c r="C114" s="2">
        <f t="shared" si="8"/>
        <v>-34.888957740771815</v>
      </c>
    </row>
    <row r="115" spans="2:3" x14ac:dyDescent="0.2">
      <c r="B115" s="5">
        <f t="shared" si="9"/>
        <v>0.80000000000000049</v>
      </c>
      <c r="C115" s="2">
        <f t="shared" si="8"/>
        <v>-36.00823045267493</v>
      </c>
    </row>
    <row r="116" spans="2:3" x14ac:dyDescent="0.2">
      <c r="B116" s="5">
        <f t="shared" si="9"/>
        <v>0.8100000000000005</v>
      </c>
      <c r="C116" s="2">
        <f t="shared" si="8"/>
        <v>-37.11797867731493</v>
      </c>
    </row>
    <row r="117" spans="2:3" x14ac:dyDescent="0.2">
      <c r="B117" s="5">
        <f t="shared" si="9"/>
        <v>0.82000000000000051</v>
      </c>
      <c r="C117" s="2">
        <f t="shared" ref="C117:C132" si="10">NPV(B117,$B$2:$B$4)</f>
        <v>-38.218031214046206</v>
      </c>
    </row>
    <row r="118" spans="2:3" x14ac:dyDescent="0.2">
      <c r="B118" s="5">
        <f t="shared" ref="B118:B133" si="11">B117+1%</f>
        <v>0.83000000000000052</v>
      </c>
      <c r="C118" s="2">
        <f t="shared" si="10"/>
        <v>-39.30823382671781</v>
      </c>
    </row>
    <row r="119" spans="2:3" x14ac:dyDescent="0.2">
      <c r="B119" s="5">
        <f t="shared" si="11"/>
        <v>0.84000000000000052</v>
      </c>
      <c r="C119" s="2">
        <f t="shared" si="10"/>
        <v>-40.388448261691572</v>
      </c>
    </row>
    <row r="120" spans="2:3" x14ac:dyDescent="0.2">
      <c r="B120" s="5">
        <f t="shared" si="11"/>
        <v>0.85000000000000053</v>
      </c>
      <c r="C120" s="2">
        <f t="shared" si="10"/>
        <v>-41.458551319763956</v>
      </c>
    </row>
    <row r="121" spans="2:3" x14ac:dyDescent="0.2">
      <c r="B121" s="5">
        <f t="shared" si="11"/>
        <v>0.86000000000000054</v>
      </c>
      <c r="C121" s="2">
        <f t="shared" si="10"/>
        <v>-42.518433978942177</v>
      </c>
    </row>
    <row r="122" spans="2:3" x14ac:dyDescent="0.2">
      <c r="B122" s="5">
        <f t="shared" si="11"/>
        <v>0.87000000000000055</v>
      </c>
      <c r="C122" s="2">
        <f t="shared" si="10"/>
        <v>-43.568000565206518</v>
      </c>
    </row>
    <row r="123" spans="2:3" x14ac:dyDescent="0.2">
      <c r="B123" s="5">
        <f t="shared" si="11"/>
        <v>0.88000000000000056</v>
      </c>
      <c r="C123" s="2">
        <f t="shared" si="10"/>
        <v>-44.60716796856196</v>
      </c>
    </row>
    <row r="124" spans="2:3" x14ac:dyDescent="0.2">
      <c r="B124" s="5">
        <f t="shared" si="11"/>
        <v>0.89000000000000057</v>
      </c>
      <c r="C124" s="2">
        <f t="shared" si="10"/>
        <v>-45.635864901842908</v>
      </c>
    </row>
    <row r="125" spans="2:3" x14ac:dyDescent="0.2">
      <c r="B125" s="5">
        <f t="shared" si="11"/>
        <v>0.90000000000000058</v>
      </c>
      <c r="C125" s="2">
        <f t="shared" si="10"/>
        <v>-46.654031199883441</v>
      </c>
    </row>
    <row r="126" spans="2:3" x14ac:dyDescent="0.2">
      <c r="B126" s="5">
        <f t="shared" si="11"/>
        <v>0.91000000000000059</v>
      </c>
      <c r="C126" s="2">
        <f t="shared" si="10"/>
        <v>-47.661617156804532</v>
      </c>
    </row>
    <row r="127" spans="2:3" x14ac:dyDescent="0.2">
      <c r="B127" s="5">
        <f t="shared" si="11"/>
        <v>0.9200000000000006</v>
      </c>
      <c r="C127" s="2">
        <f t="shared" si="10"/>
        <v>-48.658582899305607</v>
      </c>
    </row>
    <row r="128" spans="2:3" x14ac:dyDescent="0.2">
      <c r="B128" s="5">
        <f t="shared" si="11"/>
        <v>0.9300000000000006</v>
      </c>
      <c r="C128" s="2">
        <f t="shared" si="10"/>
        <v>-49.644897793966578</v>
      </c>
    </row>
    <row r="129" spans="2:3" x14ac:dyDescent="0.2">
      <c r="B129" s="5">
        <f t="shared" si="11"/>
        <v>0.94000000000000061</v>
      </c>
      <c r="C129" s="2">
        <f t="shared" si="10"/>
        <v>-50.62053988668454</v>
      </c>
    </row>
    <row r="130" spans="2:3" x14ac:dyDescent="0.2">
      <c r="B130" s="5">
        <f t="shared" si="11"/>
        <v>0.95000000000000062</v>
      </c>
      <c r="C130" s="2">
        <f t="shared" si="10"/>
        <v>-51.585495372477737</v>
      </c>
    </row>
    <row r="131" spans="2:3" x14ac:dyDescent="0.2">
      <c r="B131" s="5">
        <f t="shared" si="11"/>
        <v>0.96000000000000063</v>
      </c>
      <c r="C131" s="2">
        <f t="shared" si="10"/>
        <v>-52.539758093991473</v>
      </c>
    </row>
    <row r="132" spans="2:3" x14ac:dyDescent="0.2">
      <c r="B132" s="5">
        <f t="shared" si="11"/>
        <v>0.97000000000000064</v>
      </c>
      <c r="C132" s="2">
        <f t="shared" si="10"/>
        <v>-53.483329067136509</v>
      </c>
    </row>
    <row r="133" spans="2:3" x14ac:dyDescent="0.2">
      <c r="B133" s="5">
        <f t="shared" si="11"/>
        <v>0.98000000000000065</v>
      </c>
      <c r="C133" s="2">
        <f t="shared" ref="C133:C146" si="12">NPV(B133,$B$2:$B$4)</f>
        <v>-54.416216032377712</v>
      </c>
    </row>
    <row r="134" spans="2:3" x14ac:dyDescent="0.2">
      <c r="B134" s="5">
        <f t="shared" ref="B134:B146" si="13">B133+1%</f>
        <v>0.99000000000000066</v>
      </c>
      <c r="C134" s="2">
        <f t="shared" si="12"/>
        <v>-55.338433030281124</v>
      </c>
    </row>
    <row r="135" spans="2:3" x14ac:dyDescent="0.2">
      <c r="B135" s="5">
        <f t="shared" si="13"/>
        <v>1.0000000000000007</v>
      </c>
      <c r="C135" s="2">
        <f t="shared" si="12"/>
        <v>-56.250000000000142</v>
      </c>
    </row>
    <row r="136" spans="2:3" x14ac:dyDescent="0.2">
      <c r="B136" s="5">
        <f t="shared" si="13"/>
        <v>1.0100000000000007</v>
      </c>
      <c r="C136" s="2">
        <f t="shared" si="12"/>
        <v>-57.150942399460355</v>
      </c>
    </row>
    <row r="137" spans="2:3" x14ac:dyDescent="0.2">
      <c r="B137" s="5">
        <f t="shared" si="13"/>
        <v>1.0200000000000007</v>
      </c>
      <c r="C137" s="2">
        <f t="shared" si="12"/>
        <v>-58.041290846073224</v>
      </c>
    </row>
    <row r="138" spans="2:3" x14ac:dyDescent="0.2">
      <c r="B138" s="5">
        <f t="shared" si="13"/>
        <v>1.0300000000000007</v>
      </c>
      <c r="C138" s="2">
        <f t="shared" si="12"/>
        <v>-58.921080776868962</v>
      </c>
    </row>
    <row r="139" spans="2:3" x14ac:dyDescent="0.2">
      <c r="B139" s="5">
        <f t="shared" si="13"/>
        <v>1.0400000000000007</v>
      </c>
      <c r="C139" s="2">
        <f t="shared" si="12"/>
        <v>-59.790352127010003</v>
      </c>
    </row>
    <row r="140" spans="2:3" x14ac:dyDescent="0.2">
      <c r="B140" s="5">
        <f t="shared" si="13"/>
        <v>1.0500000000000007</v>
      </c>
      <c r="C140" s="2">
        <f t="shared" si="12"/>
        <v>-60.649149025696154</v>
      </c>
    </row>
    <row r="141" spans="2:3" x14ac:dyDescent="0.2">
      <c r="B141" s="5">
        <f t="shared" si="13"/>
        <v>1.0600000000000007</v>
      </c>
      <c r="C141" s="2">
        <f t="shared" si="12"/>
        <v>-61.497519508532385</v>
      </c>
    </row>
    <row r="142" spans="2:3" x14ac:dyDescent="0.2">
      <c r="B142" s="5">
        <f t="shared" si="13"/>
        <v>1.0700000000000007</v>
      </c>
      <c r="C142" s="2">
        <f t="shared" si="12"/>
        <v>-62.33551524548129</v>
      </c>
    </row>
    <row r="143" spans="2:3" x14ac:dyDescent="0.2">
      <c r="B143" s="5">
        <f t="shared" si="13"/>
        <v>1.0800000000000007</v>
      </c>
      <c r="C143" s="2">
        <f t="shared" si="12"/>
        <v>-63.163191283568636</v>
      </c>
    </row>
    <row r="144" spans="2:3" x14ac:dyDescent="0.2">
      <c r="B144" s="5">
        <f t="shared" si="13"/>
        <v>1.0900000000000007</v>
      </c>
      <c r="C144" s="2">
        <f t="shared" si="12"/>
        <v>-63.980605803559094</v>
      </c>
    </row>
    <row r="145" spans="2:3" x14ac:dyDescent="0.2">
      <c r="B145" s="5">
        <f t="shared" si="13"/>
        <v>1.1000000000000008</v>
      </c>
      <c r="C145" s="2">
        <f t="shared" si="12"/>
        <v>-64.787819889860742</v>
      </c>
    </row>
    <row r="146" spans="2:3" x14ac:dyDescent="0.2">
      <c r="B146" s="5">
        <f t="shared" si="13"/>
        <v>1.1100000000000008</v>
      </c>
      <c r="C146" s="2">
        <f t="shared" si="12"/>
        <v>-65.584897312956713</v>
      </c>
    </row>
  </sheetData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8"/>
  <sheetViews>
    <sheetView showGridLines="0" workbookViewId="0">
      <selection activeCell="B2" sqref="B2"/>
    </sheetView>
  </sheetViews>
  <sheetFormatPr baseColWidth="10" defaultRowHeight="12.75" x14ac:dyDescent="0.2"/>
  <cols>
    <col min="1" max="1" width="29.5703125" customWidth="1"/>
    <col min="2" max="2" width="14.42578125" customWidth="1"/>
    <col min="3" max="3" width="14.28515625" customWidth="1"/>
    <col min="4" max="4" width="14.140625" customWidth="1"/>
    <col min="5" max="5" width="14" customWidth="1"/>
  </cols>
  <sheetData>
    <row r="1" spans="1:6" x14ac:dyDescent="0.2">
      <c r="A1" s="39" t="s">
        <v>0</v>
      </c>
      <c r="B1" s="19"/>
      <c r="C1" s="19"/>
      <c r="D1" s="19"/>
      <c r="E1" s="19"/>
      <c r="F1" s="19"/>
    </row>
    <row r="2" spans="1:6" x14ac:dyDescent="0.2">
      <c r="A2" s="64" t="s">
        <v>1</v>
      </c>
      <c r="B2" s="109">
        <v>7.0000000000000007E-2</v>
      </c>
      <c r="C2" s="19" t="s">
        <v>2</v>
      </c>
      <c r="D2" s="19"/>
      <c r="E2" s="19"/>
      <c r="F2" s="19"/>
    </row>
    <row r="3" spans="1:6" x14ac:dyDescent="0.2">
      <c r="A3" s="19"/>
      <c r="B3" s="19"/>
      <c r="C3" s="19"/>
      <c r="D3" s="19"/>
      <c r="E3" s="19"/>
      <c r="F3" s="19"/>
    </row>
    <row r="4" spans="1:6" x14ac:dyDescent="0.2">
      <c r="A4" s="19"/>
      <c r="B4" s="201" t="s">
        <v>202</v>
      </c>
      <c r="C4" s="201" t="s">
        <v>204</v>
      </c>
      <c r="D4" s="201" t="s">
        <v>203</v>
      </c>
      <c r="E4" s="202" t="s">
        <v>201</v>
      </c>
      <c r="F4" s="202"/>
    </row>
    <row r="5" spans="1:6" x14ac:dyDescent="0.2">
      <c r="A5" s="64" t="s">
        <v>4</v>
      </c>
      <c r="B5" s="65">
        <v>0</v>
      </c>
      <c r="C5" s="65">
        <v>0</v>
      </c>
      <c r="D5" s="65">
        <v>0</v>
      </c>
      <c r="E5" s="65">
        <v>0</v>
      </c>
      <c r="F5" s="65">
        <v>0</v>
      </c>
    </row>
    <row r="6" spans="1:6" x14ac:dyDescent="0.2">
      <c r="A6" s="64" t="s">
        <v>5</v>
      </c>
      <c r="B6" s="65">
        <v>1400</v>
      </c>
      <c r="C6" s="65">
        <v>0</v>
      </c>
      <c r="D6" s="65">
        <v>10</v>
      </c>
      <c r="E6" s="65">
        <v>0</v>
      </c>
      <c r="F6" s="65">
        <v>0</v>
      </c>
    </row>
    <row r="7" spans="1:6" x14ac:dyDescent="0.2">
      <c r="A7" s="64" t="s">
        <v>6</v>
      </c>
      <c r="B7" s="65">
        <v>0</v>
      </c>
      <c r="C7" s="65">
        <v>0</v>
      </c>
      <c r="D7" s="65">
        <v>20</v>
      </c>
      <c r="E7" s="65">
        <v>0</v>
      </c>
      <c r="F7" s="65">
        <v>0</v>
      </c>
    </row>
    <row r="8" spans="1:6" x14ac:dyDescent="0.2">
      <c r="A8" s="64" t="s">
        <v>7</v>
      </c>
      <c r="B8" s="65">
        <v>3000</v>
      </c>
      <c r="C8" s="65">
        <v>0</v>
      </c>
      <c r="D8" s="65">
        <v>30</v>
      </c>
      <c r="E8" s="65">
        <v>0</v>
      </c>
      <c r="F8" s="65">
        <v>4500</v>
      </c>
    </row>
    <row r="9" spans="1:6" x14ac:dyDescent="0.2">
      <c r="A9" s="64" t="s">
        <v>8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</row>
    <row r="10" spans="1:6" x14ac:dyDescent="0.2">
      <c r="A10" s="64" t="s">
        <v>9</v>
      </c>
      <c r="B10" s="65">
        <v>0</v>
      </c>
      <c r="C10" s="65">
        <v>10000</v>
      </c>
      <c r="D10" s="65">
        <v>0</v>
      </c>
      <c r="E10" s="65">
        <v>150</v>
      </c>
      <c r="F10" s="65">
        <v>0</v>
      </c>
    </row>
    <row r="11" spans="1:6" x14ac:dyDescent="0.2">
      <c r="A11" s="64" t="s">
        <v>10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</row>
    <row r="12" spans="1:6" x14ac:dyDescent="0.2">
      <c r="A12" s="64" t="s">
        <v>11</v>
      </c>
      <c r="B12" s="65">
        <v>0</v>
      </c>
      <c r="C12" s="65">
        <v>0</v>
      </c>
      <c r="D12" s="65">
        <v>0</v>
      </c>
      <c r="E12" s="65">
        <v>150</v>
      </c>
      <c r="F12" s="65">
        <v>0</v>
      </c>
    </row>
    <row r="13" spans="1:6" x14ac:dyDescent="0.2">
      <c r="A13" s="64" t="s">
        <v>12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</row>
    <row r="14" spans="1:6" x14ac:dyDescent="0.2">
      <c r="A14" s="64" t="s">
        <v>13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</row>
    <row r="15" spans="1:6" x14ac:dyDescent="0.2">
      <c r="A15" s="64" t="s">
        <v>14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</row>
    <row r="16" spans="1:6" ht="22.5" customHeight="1" x14ac:dyDescent="0.2">
      <c r="A16" s="21" t="s">
        <v>15</v>
      </c>
      <c r="B16" s="22"/>
      <c r="C16" s="22"/>
      <c r="D16" s="22"/>
      <c r="E16" s="22"/>
      <c r="F16" s="22"/>
    </row>
    <row r="17" spans="1:6" x14ac:dyDescent="0.2">
      <c r="A17" s="24" t="s">
        <v>205</v>
      </c>
      <c r="B17" s="200">
        <f>NPV($B$2,B6:B15)+B5</f>
        <v>3757.3048456258271</v>
      </c>
      <c r="C17" s="200">
        <f>NPV($B$2,C6:C15)+C5</f>
        <v>7129.8617948366827</v>
      </c>
      <c r="D17" s="200">
        <f>NPV($B$2,D6:D15)+D5</f>
        <v>51.303505264713152</v>
      </c>
      <c r="E17" s="200">
        <f>NPV($B$2,E6:E15)+E5</f>
        <v>200.36038820523888</v>
      </c>
      <c r="F17" s="200">
        <f>NPV($B$2,F6:F15)+F5</f>
        <v>3673.3404460088336</v>
      </c>
    </row>
    <row r="18" spans="1:6" x14ac:dyDescent="0.2">
      <c r="A18" s="24" t="s">
        <v>17</v>
      </c>
      <c r="B18" s="40">
        <v>2</v>
      </c>
      <c r="C18" s="19" t="s">
        <v>18</v>
      </c>
      <c r="D18" s="19"/>
      <c r="E18" s="19"/>
      <c r="F18" s="19"/>
    </row>
    <row r="19" spans="1:6" x14ac:dyDescent="0.2">
      <c r="A19" s="24" t="s">
        <v>19</v>
      </c>
      <c r="B19" s="25">
        <f>B17*(1+$B$2)^$B$18</f>
        <v>4301.7383177570091</v>
      </c>
      <c r="C19" s="25">
        <f>C17*(1+$B$2)^$B$18</f>
        <v>8162.9787689085178</v>
      </c>
      <c r="D19" s="25">
        <f>D17*(1+$B$2)^$B$18</f>
        <v>58.737383177570088</v>
      </c>
      <c r="E19" s="25">
        <f>E17*(1+$B$2)^$B$18</f>
        <v>229.39260845617801</v>
      </c>
      <c r="F19" s="25">
        <f>F17*(1+$B$2)^$B$18</f>
        <v>4205.6074766355141</v>
      </c>
    </row>
    <row r="20" spans="1:6" x14ac:dyDescent="0.2">
      <c r="A20" s="126"/>
      <c r="B20" s="29"/>
      <c r="C20" s="29"/>
      <c r="D20" s="29"/>
      <c r="E20" s="29"/>
      <c r="F20" s="29"/>
    </row>
    <row r="21" spans="1:6" x14ac:dyDescent="0.2">
      <c r="A21" s="19" t="s">
        <v>28</v>
      </c>
      <c r="B21" s="49">
        <f>LN(SUM(B5:B16)/B24)/LN(1+$B$2)</f>
        <v>2.3338130524582446</v>
      </c>
      <c r="C21" s="49">
        <f>LN(SUM(C5:C16)/C24)/LN(1+$B$2)</f>
        <v>5</v>
      </c>
      <c r="D21" s="49">
        <f>LN(SUM(D5:D16)/D24)/LN(1+$B$2)</f>
        <v>2.3143454261199983</v>
      </c>
      <c r="E21" s="49">
        <f>LN(SUM(E5:E16)/E24)/LN(1+$B$2)</f>
        <v>5.96619645434187</v>
      </c>
      <c r="F21" s="49">
        <f>LN(SUM(F5:F16)/F24)/LN(1+$B$2)</f>
        <v>2.9999999999999987</v>
      </c>
    </row>
    <row r="22" spans="1:6" x14ac:dyDescent="0.2">
      <c r="A22" s="19" t="s">
        <v>30</v>
      </c>
      <c r="B22" s="49">
        <f>(B$6/(1+$B$2)^1+2*B$7/(1+$B$2)^2+3*B$8/(1+$B$2)^3+4*B$9/(1+$B$2)^4+5*B$10/(1+$B$2)^5+6*B$11/(1+$B$2)^6+7*B$12/(1+$B$2)^7+8*B$13/(1+$B$2)^8+9*B$14/(1+$B$2)^9+10*B$15/(1+$B$2)^10)/B17</f>
        <v>2.3035373658985931</v>
      </c>
      <c r="C22" s="49">
        <f>(C$6/(1+$B$2)^1+2*C$7/(1+$B$2)^2+3*C$8/(1+$B$2)^3+4*C$9/(1+$B$2)^4+5*C$10/(1+$B$2)^5+6*C$11/(1+$B$2)^6+7*C$12/(1+$B$2)^7+8*C$13/(1+$B$2)^8+9*C$14/(1+$B$2)^9+10*C$15/(1+$B$2)^10)/C17</f>
        <v>5.0000000000000009</v>
      </c>
      <c r="D22" s="49">
        <f>(D$6/(1+$B$2)^1+2*D$7/(1+$B$2)^2+3*D$8/(1+$B$2)^3+4*D$9/(1+$B$2)^4+5*D$10/(1+$B$2)^5+6*D$11/(1+$B$2)^6+7*D$12/(1+$B$2)^7+8*D$13/(1+$B$2)^8+9*D$14/(1+$B$2)^9+10*D$15/(1+$B$2)^10)/D17</f>
        <v>2.2951677830991746</v>
      </c>
      <c r="E22" s="49">
        <f>(E$6/(1+$B$2)^1+2*E$7/(1+$B$2)^2+3*E$8/(1+$B$2)^3+4*E$9/(1+$B$2)^4+5*E$10/(1+$B$2)^5+6*E$11/(1+$B$2)^6+7*E$12/(1+$B$2)^7+8*E$13/(1+$B$2)^8+9*E$14/(1+$B$2)^9+10*E$15/(1+$B$2)^10)/E17</f>
        <v>5.9324444030024726</v>
      </c>
      <c r="F22" s="49">
        <f>(F$6/(1+$B$2)^1+2*F$7/(1+$B$2)^2+3*F$8/(1+$B$2)^3+4*F$9/(1+$B$2)^4+5*F$10/(1+$B$2)^5+6*F$11/(1+$B$2)^6+7*F$12/(1+$B$2)^7+8*F$13/(1+$B$2)^8+9*F$14/(1+$B$2)^9+10*F$15/(1+$B$2)^10)/F17</f>
        <v>3</v>
      </c>
    </row>
    <row r="23" spans="1:6" x14ac:dyDescent="0.2">
      <c r="A23" s="197" t="s">
        <v>206</v>
      </c>
      <c r="B23" s="22"/>
      <c r="C23" s="22"/>
      <c r="D23" s="22"/>
      <c r="E23" s="22"/>
      <c r="F23" s="22"/>
    </row>
    <row r="24" spans="1:6" x14ac:dyDescent="0.2">
      <c r="A24" s="28" t="s">
        <v>32</v>
      </c>
      <c r="B24" s="198">
        <f>NPV($B$2,B6:B15)+B5</f>
        <v>3757.3048456258271</v>
      </c>
      <c r="C24" s="198">
        <f>NPV($B$2,C6:C15)+C5</f>
        <v>7129.8617948366827</v>
      </c>
      <c r="D24" s="198">
        <f>NPV($B$2,D6:D15)+D5</f>
        <v>51.303505264713152</v>
      </c>
      <c r="E24" s="203">
        <f>NPV($B$2,E6:E15)+E5</f>
        <v>200.36038820523888</v>
      </c>
      <c r="F24" s="198">
        <f>NPV($B$2,F6:F15)+F5</f>
        <v>3673.3404460088336</v>
      </c>
    </row>
    <row r="25" spans="1:6" x14ac:dyDescent="0.2">
      <c r="A25" s="28" t="s">
        <v>33</v>
      </c>
      <c r="B25" s="198">
        <f>B24*(1+$B$2)^6</f>
        <v>5638.7014229800006</v>
      </c>
      <c r="C25" s="198">
        <f>C24*(1+$B$2)^6</f>
        <v>10699.999999999998</v>
      </c>
      <c r="D25" s="198">
        <f>D24*(1+$B$2)^6</f>
        <v>76.992727506999998</v>
      </c>
      <c r="E25" s="203">
        <f>E24*(1+$B$2)^6</f>
        <v>300.68691588785038</v>
      </c>
      <c r="F25" s="198">
        <f>F24*(1+$B$2)^6</f>
        <v>5512.6934999999994</v>
      </c>
    </row>
    <row r="26" spans="1:6" x14ac:dyDescent="0.2">
      <c r="A26" s="30" t="s">
        <v>34</v>
      </c>
      <c r="B26" s="105">
        <f>B24/(1/(1+$B$2)^2+1/(1+$B$2)^4)</f>
        <v>2296.1724089701152</v>
      </c>
      <c r="C26" s="105">
        <f>C24/(1/(1+$B$2)^2+1/(1+$B$2)^4)</f>
        <v>4357.2168364601439</v>
      </c>
      <c r="D26" s="105">
        <f>D24/(1/(1+$B$2)^2+1/(1+$B$2)^4)</f>
        <v>31.352711082101727</v>
      </c>
      <c r="E26" s="204">
        <f>E24/(1/(1+$B$2)^2+1/(1+$B$2)^4)</f>
        <v>122.44468153362776</v>
      </c>
      <c r="F26" s="105">
        <f>F24/(1/(1+$B$2)^2+1/(1+$B$2)^4)</f>
        <v>2244.8599002284486</v>
      </c>
    </row>
    <row r="28" spans="1:6" x14ac:dyDescent="0.2">
      <c r="B28" s="199"/>
    </row>
  </sheetData>
  <phoneticPr fontId="3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 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D5" sqref="D5:D10"/>
    </sheetView>
  </sheetViews>
  <sheetFormatPr baseColWidth="10" defaultRowHeight="12.75" x14ac:dyDescent="0.2"/>
  <cols>
    <col min="1" max="1" width="15.7109375" customWidth="1"/>
    <col min="2" max="2" width="8.42578125" customWidth="1"/>
    <col min="3" max="3" width="11.42578125" customWidth="1"/>
    <col min="4" max="4" width="9.140625" customWidth="1"/>
    <col min="5" max="5" width="9.85546875" customWidth="1"/>
    <col min="6" max="6" width="9.42578125" customWidth="1"/>
    <col min="8" max="8" width="14.5703125" customWidth="1"/>
    <col min="9" max="14" width="12.5703125" bestFit="1" customWidth="1"/>
  </cols>
  <sheetData>
    <row r="1" spans="1:14" x14ac:dyDescent="0.2">
      <c r="A1" s="39" t="s">
        <v>217</v>
      </c>
      <c r="B1" s="39"/>
      <c r="C1" s="19"/>
      <c r="D1" s="19"/>
      <c r="E1" s="19"/>
      <c r="F1" s="19"/>
      <c r="G1" s="19"/>
      <c r="H1" s="19"/>
      <c r="I1" s="19"/>
      <c r="J1" s="19"/>
      <c r="K1" s="19"/>
    </row>
    <row r="2" spans="1:14" x14ac:dyDescent="0.2">
      <c r="A2" s="19"/>
      <c r="B2" s="19"/>
      <c r="C2" s="19"/>
      <c r="D2" s="19"/>
      <c r="E2" s="108" t="s">
        <v>195</v>
      </c>
      <c r="F2" s="19"/>
      <c r="G2" s="19"/>
      <c r="H2" s="19"/>
      <c r="I2" s="19"/>
      <c r="J2" s="19"/>
      <c r="K2" s="19"/>
    </row>
    <row r="3" spans="1:14" x14ac:dyDescent="0.2">
      <c r="A3" s="18"/>
      <c r="B3" s="129" t="s">
        <v>181</v>
      </c>
      <c r="C3" s="64" t="s">
        <v>82</v>
      </c>
      <c r="D3" s="64" t="s">
        <v>188</v>
      </c>
      <c r="E3" s="151" t="s">
        <v>196</v>
      </c>
      <c r="F3" s="19"/>
      <c r="G3" s="19"/>
      <c r="H3" s="19"/>
      <c r="I3" s="19"/>
      <c r="J3" s="19"/>
      <c r="K3" s="19"/>
    </row>
    <row r="4" spans="1:14" x14ac:dyDescent="0.2">
      <c r="A4" s="18" t="s">
        <v>4</v>
      </c>
      <c r="B4" s="129">
        <v>0</v>
      </c>
      <c r="C4" s="18"/>
      <c r="D4" s="18"/>
      <c r="E4" s="152">
        <v>1</v>
      </c>
      <c r="F4" s="19"/>
      <c r="G4" s="19"/>
      <c r="H4" s="19"/>
      <c r="I4" s="19"/>
      <c r="J4" s="19"/>
      <c r="K4" s="19"/>
    </row>
    <row r="5" spans="1:14" x14ac:dyDescent="0.2">
      <c r="A5" s="18" t="s">
        <v>5</v>
      </c>
      <c r="B5" s="129">
        <v>1</v>
      </c>
      <c r="C5" s="33">
        <v>1400</v>
      </c>
      <c r="D5" s="104">
        <v>0.01</v>
      </c>
      <c r="E5" s="152">
        <f>1/(1+D5)^1</f>
        <v>0.99009900990099009</v>
      </c>
      <c r="F5" s="19"/>
      <c r="G5" s="19"/>
      <c r="H5" s="19"/>
      <c r="I5" s="19"/>
      <c r="J5" s="19"/>
      <c r="K5" s="19"/>
    </row>
    <row r="6" spans="1:14" x14ac:dyDescent="0.2">
      <c r="A6" s="18" t="s">
        <v>6</v>
      </c>
      <c r="B6" s="129">
        <v>2</v>
      </c>
      <c r="C6" s="33">
        <v>0</v>
      </c>
      <c r="D6" s="104">
        <v>1.2E-2</v>
      </c>
      <c r="E6" s="152">
        <f>1/(1+D6)^2</f>
        <v>0.97642519020762708</v>
      </c>
      <c r="F6" s="19"/>
      <c r="G6" s="19"/>
      <c r="H6" s="19"/>
      <c r="I6" s="19"/>
      <c r="J6" s="19"/>
      <c r="K6" s="19"/>
    </row>
    <row r="7" spans="1:14" x14ac:dyDescent="0.2">
      <c r="A7" s="18" t="s">
        <v>7</v>
      </c>
      <c r="B7" s="129">
        <v>3</v>
      </c>
      <c r="C7" s="33">
        <v>2000</v>
      </c>
      <c r="D7" s="104">
        <v>1.7500000000000002E-2</v>
      </c>
      <c r="E7" s="152">
        <f>1/(1+D7)^3</f>
        <v>0.9492852794049903</v>
      </c>
      <c r="F7" s="19"/>
      <c r="G7" s="19"/>
      <c r="H7" s="19"/>
      <c r="I7" s="19"/>
      <c r="J7" s="19"/>
      <c r="K7" s="19"/>
    </row>
    <row r="8" spans="1:14" x14ac:dyDescent="0.2">
      <c r="A8" s="18" t="s">
        <v>8</v>
      </c>
      <c r="B8" s="129">
        <v>4</v>
      </c>
      <c r="C8" s="33">
        <v>0</v>
      </c>
      <c r="D8" s="104">
        <v>0.02</v>
      </c>
      <c r="E8" s="152">
        <f>1/(1+D8)^4</f>
        <v>0.9238454260265142</v>
      </c>
      <c r="F8" s="19"/>
      <c r="G8" s="19"/>
      <c r="H8" s="19"/>
      <c r="I8" s="19"/>
      <c r="J8" s="19"/>
      <c r="K8" s="19"/>
    </row>
    <row r="9" spans="1:14" x14ac:dyDescent="0.2">
      <c r="A9" s="18" t="s">
        <v>9</v>
      </c>
      <c r="B9" s="129">
        <v>5</v>
      </c>
      <c r="C9" s="33">
        <v>0</v>
      </c>
      <c r="D9" s="104">
        <v>2.5000000000000001E-2</v>
      </c>
      <c r="E9" s="152">
        <f>1/(1+D9)^5</f>
        <v>0.88385428760951712</v>
      </c>
      <c r="F9" s="19"/>
      <c r="G9" s="19"/>
      <c r="H9" s="19"/>
      <c r="I9" s="19"/>
      <c r="J9" s="19"/>
      <c r="K9" s="19"/>
    </row>
    <row r="10" spans="1:14" x14ac:dyDescent="0.2">
      <c r="A10" s="18" t="s">
        <v>10</v>
      </c>
      <c r="B10" s="129">
        <v>6</v>
      </c>
      <c r="C10" s="33">
        <v>0</v>
      </c>
      <c r="D10" s="260">
        <v>2.75E-2</v>
      </c>
      <c r="E10" s="152">
        <f>1/(1+D10)^6</f>
        <v>0.84978491361064379</v>
      </c>
      <c r="F10" s="19"/>
      <c r="G10" s="19"/>
      <c r="H10" s="19"/>
      <c r="I10" s="19"/>
      <c r="J10" s="19"/>
      <c r="K10" s="19"/>
    </row>
    <row r="11" spans="1:14" x14ac:dyDescent="0.2">
      <c r="A11" s="18" t="s">
        <v>12</v>
      </c>
      <c r="B11" s="129">
        <v>8</v>
      </c>
      <c r="C11" s="33">
        <v>0</v>
      </c>
      <c r="D11" s="104">
        <v>2.8000000000000001E-2</v>
      </c>
      <c r="E11" s="152">
        <f>1/(1+D11)^8</f>
        <v>0.80177974880022107</v>
      </c>
      <c r="F11" s="19"/>
      <c r="G11" s="19"/>
      <c r="H11" s="19"/>
      <c r="I11" s="19"/>
      <c r="J11" s="19"/>
      <c r="K11" s="19"/>
      <c r="L11" s="169"/>
      <c r="M11" s="169"/>
      <c r="N11" s="169"/>
    </row>
    <row r="12" spans="1:14" x14ac:dyDescent="0.2">
      <c r="A12" s="18" t="s">
        <v>14</v>
      </c>
      <c r="B12" s="129">
        <v>10</v>
      </c>
      <c r="C12" s="33">
        <v>0</v>
      </c>
      <c r="D12" s="104">
        <v>0.03</v>
      </c>
      <c r="E12" s="152">
        <f>1/(1+D12)^10</f>
        <v>0.74409391489672516</v>
      </c>
      <c r="F12" s="19"/>
      <c r="G12" s="19"/>
      <c r="H12" s="19"/>
      <c r="I12" s="19"/>
      <c r="J12" s="19"/>
      <c r="K12" s="19"/>
    </row>
    <row r="13" spans="1:14" x14ac:dyDescent="0.2">
      <c r="A13" s="29"/>
      <c r="B13" s="29"/>
      <c r="C13" s="29"/>
      <c r="D13" s="67"/>
      <c r="E13" s="19"/>
      <c r="F13" s="19"/>
      <c r="G13" s="19"/>
      <c r="H13" s="19"/>
      <c r="I13" s="19"/>
      <c r="J13" s="19"/>
      <c r="K13" s="19"/>
    </row>
    <row r="14" spans="1:14" ht="11.25" customHeight="1" x14ac:dyDescent="0.2">
      <c r="A14" s="68" t="s">
        <v>94</v>
      </c>
      <c r="B14" s="68"/>
      <c r="C14" s="19"/>
      <c r="D14" s="19"/>
      <c r="E14" s="19"/>
      <c r="F14" s="19"/>
      <c r="G14" s="19"/>
      <c r="H14" s="19"/>
      <c r="I14" s="19"/>
      <c r="J14" s="19"/>
      <c r="K14" s="19"/>
    </row>
    <row r="15" spans="1:14" x14ac:dyDescent="0.2">
      <c r="A15" s="211"/>
      <c r="B15" s="216" t="s">
        <v>218</v>
      </c>
      <c r="C15" s="213">
        <f>SUMPRODUCT(C4:C11,E4:E11)</f>
        <v>3284.709172671367</v>
      </c>
      <c r="D15" s="19"/>
      <c r="E15" s="19"/>
      <c r="F15" s="19"/>
      <c r="G15" s="19"/>
      <c r="H15" s="19"/>
      <c r="I15" s="19"/>
      <c r="J15" s="19"/>
      <c r="K15" s="19"/>
    </row>
    <row r="16" spans="1:14" x14ac:dyDescent="0.2">
      <c r="A16" s="19"/>
      <c r="B16" s="68"/>
      <c r="C16" s="50"/>
      <c r="D16" s="50"/>
      <c r="E16" s="19"/>
      <c r="F16" s="19"/>
      <c r="G16" s="19"/>
      <c r="H16" s="19"/>
      <c r="I16" s="19"/>
      <c r="J16" s="19"/>
      <c r="K16" s="19"/>
    </row>
    <row r="17" spans="1:11" x14ac:dyDescent="0.2">
      <c r="A17" s="197"/>
      <c r="B17" s="218" t="s">
        <v>219</v>
      </c>
      <c r="C17" s="212">
        <v>3</v>
      </c>
      <c r="D17" s="214" t="str">
        <f>IF(C17&gt;10,"Fehler, wert zu groß.","")</f>
        <v/>
      </c>
      <c r="E17" s="19"/>
      <c r="F17" s="19"/>
      <c r="G17" s="19"/>
      <c r="H17" s="19"/>
      <c r="I17" s="19"/>
      <c r="J17" s="19"/>
      <c r="K17" s="19"/>
    </row>
    <row r="18" spans="1:11" x14ac:dyDescent="0.2">
      <c r="A18" s="30"/>
      <c r="B18" s="217">
        <f>C17</f>
        <v>3</v>
      </c>
      <c r="C18" s="215">
        <f>C15*(1+VLOOKUP(C17,B4:D12,3))^C17</f>
        <v>3460.191834777228</v>
      </c>
      <c r="D18" s="19"/>
      <c r="E18" s="19"/>
      <c r="F18" s="19"/>
      <c r="G18" s="19"/>
      <c r="H18" s="19"/>
      <c r="I18" s="19"/>
      <c r="J18" s="19"/>
      <c r="K18" s="19"/>
    </row>
    <row r="19" spans="1:1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2">
      <c r="A20" s="39" t="s">
        <v>266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">
      <c r="A21" s="262"/>
      <c r="B21" s="264" t="s">
        <v>264</v>
      </c>
      <c r="C21" s="266">
        <v>1000</v>
      </c>
      <c r="D21" s="19"/>
      <c r="E21" s="19"/>
      <c r="F21" s="19"/>
      <c r="G21" s="19"/>
      <c r="H21" s="19"/>
      <c r="I21" s="19"/>
      <c r="J21" s="19"/>
      <c r="K21" s="19"/>
    </row>
    <row r="22" spans="1:11" x14ac:dyDescent="0.2">
      <c r="A22" s="262"/>
      <c r="B22" s="264" t="s">
        <v>263</v>
      </c>
      <c r="C22" s="263">
        <v>10</v>
      </c>
      <c r="D22" s="262" t="s">
        <v>265</v>
      </c>
      <c r="E22" s="265">
        <f>C21*(1+VLOOKUP(C22,B4:D12,3))^C22-C21</f>
        <v>343.91637934412188</v>
      </c>
      <c r="F22" s="19"/>
      <c r="G22" s="19"/>
      <c r="H22" s="19"/>
      <c r="I22" s="19"/>
      <c r="J22" s="19"/>
      <c r="K22" s="19"/>
    </row>
    <row r="23" spans="1:1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</sheetData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 &amp;A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workbookViewId="0">
      <selection activeCell="G13" sqref="G13"/>
    </sheetView>
  </sheetViews>
  <sheetFormatPr baseColWidth="10" defaultRowHeight="12.75" x14ac:dyDescent="0.2"/>
  <cols>
    <col min="1" max="16384" width="11.42578125" style="251"/>
  </cols>
  <sheetData>
    <row r="2" spans="1:11" ht="13.5" thickBot="1" x14ac:dyDescent="0.25"/>
    <row r="3" spans="1:11" ht="13.5" thickBot="1" x14ac:dyDescent="0.25">
      <c r="A3" s="252"/>
      <c r="B3" s="293" t="s">
        <v>255</v>
      </c>
      <c r="C3" s="294"/>
      <c r="D3" s="294"/>
      <c r="E3" s="294"/>
      <c r="F3" s="294"/>
      <c r="G3" s="294"/>
      <c r="H3" s="294"/>
      <c r="I3" s="294"/>
      <c r="J3" s="294"/>
      <c r="K3" s="295"/>
    </row>
    <row r="4" spans="1:11" ht="13.5" thickBot="1" x14ac:dyDescent="0.25">
      <c r="A4" s="259"/>
      <c r="B4" s="253">
        <v>1</v>
      </c>
      <c r="C4" s="254">
        <v>2</v>
      </c>
      <c r="D4" s="254">
        <v>3</v>
      </c>
      <c r="E4" s="254">
        <v>4</v>
      </c>
      <c r="F4" s="254">
        <v>5</v>
      </c>
      <c r="G4" s="254">
        <v>6</v>
      </c>
      <c r="H4" s="254">
        <v>7</v>
      </c>
      <c r="I4" s="254">
        <v>8</v>
      </c>
      <c r="J4" s="254">
        <v>9</v>
      </c>
      <c r="K4" s="254">
        <v>10</v>
      </c>
    </row>
    <row r="5" spans="1:11" ht="13.5" thickBot="1" x14ac:dyDescent="0.25">
      <c r="A5" s="255">
        <v>36889</v>
      </c>
      <c r="B5" s="256">
        <v>4.88</v>
      </c>
      <c r="C5" s="256">
        <v>4.57</v>
      </c>
      <c r="D5" s="256">
        <v>4.6500000000000004</v>
      </c>
      <c r="E5" s="256">
        <v>4.76</v>
      </c>
      <c r="F5" s="256">
        <v>4.8600000000000003</v>
      </c>
      <c r="G5" s="256">
        <v>4.99</v>
      </c>
      <c r="H5" s="256">
        <v>5.07</v>
      </c>
      <c r="I5" s="256">
        <v>5.09</v>
      </c>
      <c r="J5" s="256">
        <v>5.0199999999999996</v>
      </c>
      <c r="K5" s="256">
        <v>5.13</v>
      </c>
    </row>
    <row r="6" spans="1:11" ht="13.5" thickBot="1" x14ac:dyDescent="0.25">
      <c r="A6" s="255">
        <v>40542</v>
      </c>
      <c r="B6" s="257">
        <v>0.85</v>
      </c>
      <c r="C6" s="257">
        <v>1.21</v>
      </c>
      <c r="D6" s="257">
        <v>1.68</v>
      </c>
      <c r="E6" s="257">
        <v>2.0499999999999998</v>
      </c>
      <c r="F6" s="257">
        <v>2.3199999999999998</v>
      </c>
      <c r="G6" s="257">
        <v>2.66</v>
      </c>
      <c r="H6" s="257">
        <v>2.88</v>
      </c>
      <c r="I6" s="257">
        <v>2.69</v>
      </c>
      <c r="J6" s="257">
        <v>3.15</v>
      </c>
      <c r="K6" s="257">
        <v>3.08</v>
      </c>
    </row>
    <row r="7" spans="1:11" ht="13.5" thickBot="1" x14ac:dyDescent="0.25">
      <c r="A7" s="255">
        <v>42003</v>
      </c>
      <c r="B7" s="258">
        <v>-0.09</v>
      </c>
      <c r="C7" s="258">
        <v>-0.03</v>
      </c>
      <c r="D7" s="257">
        <v>0.01</v>
      </c>
      <c r="E7" s="257">
        <v>0.06</v>
      </c>
      <c r="F7" s="257">
        <v>0.22</v>
      </c>
      <c r="G7" s="257">
        <v>0.39</v>
      </c>
      <c r="H7" s="257">
        <v>0.42</v>
      </c>
      <c r="I7" s="257">
        <v>0.55000000000000004</v>
      </c>
      <c r="J7" s="257">
        <v>0.71</v>
      </c>
      <c r="K7" s="257">
        <v>0.82</v>
      </c>
    </row>
  </sheetData>
  <mergeCells count="1">
    <mergeCell ref="B3:K3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3" sqref="B3"/>
    </sheetView>
  </sheetViews>
  <sheetFormatPr baseColWidth="10" defaultRowHeight="12.75" x14ac:dyDescent="0.2"/>
  <cols>
    <col min="1" max="1" width="9" style="172" customWidth="1"/>
    <col min="2" max="7" width="8.7109375" style="172" customWidth="1"/>
    <col min="8" max="16384" width="11.42578125" style="172"/>
  </cols>
  <sheetData>
    <row r="1" spans="1:14" ht="35.25" customHeight="1" x14ac:dyDescent="0.25">
      <c r="A1" s="170" t="s">
        <v>190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x14ac:dyDescent="0.2">
      <c r="A2" s="171"/>
      <c r="B2" s="296" t="s">
        <v>191</v>
      </c>
      <c r="C2" s="297"/>
      <c r="D2" s="297"/>
      <c r="E2" s="297"/>
      <c r="F2" s="297"/>
      <c r="G2" s="298"/>
      <c r="H2" s="171"/>
      <c r="I2" s="171"/>
      <c r="J2" s="171"/>
      <c r="K2" s="171"/>
      <c r="L2" s="171"/>
      <c r="M2" s="171"/>
      <c r="N2" s="171"/>
    </row>
    <row r="3" spans="1:14" ht="27" customHeight="1" x14ac:dyDescent="0.2">
      <c r="A3" s="173" t="s">
        <v>84</v>
      </c>
      <c r="B3" s="174">
        <f>2%</f>
        <v>0.02</v>
      </c>
      <c r="C3" s="174">
        <v>0.04</v>
      </c>
      <c r="D3" s="174">
        <v>0.06</v>
      </c>
      <c r="E3" s="174">
        <v>0.08</v>
      </c>
      <c r="F3" s="174">
        <v>0.1</v>
      </c>
      <c r="G3" s="174">
        <v>0.12</v>
      </c>
      <c r="H3" s="171"/>
      <c r="I3" s="171"/>
      <c r="J3" s="171"/>
      <c r="K3" s="171"/>
      <c r="L3" s="171"/>
      <c r="M3" s="171"/>
      <c r="N3" s="171"/>
    </row>
    <row r="4" spans="1:14" x14ac:dyDescent="0.2">
      <c r="A4" s="175">
        <v>0</v>
      </c>
      <c r="B4" s="176">
        <f t="shared" ref="B4:G5" si="0">1/(1+B$3)^$A4</f>
        <v>1</v>
      </c>
      <c r="C4" s="176">
        <f t="shared" si="0"/>
        <v>1</v>
      </c>
      <c r="D4" s="176">
        <f t="shared" si="0"/>
        <v>1</v>
      </c>
      <c r="E4" s="176">
        <f t="shared" si="0"/>
        <v>1</v>
      </c>
      <c r="F4" s="176">
        <f t="shared" si="0"/>
        <v>1</v>
      </c>
      <c r="G4" s="176">
        <f t="shared" si="0"/>
        <v>1</v>
      </c>
      <c r="H4" s="171"/>
      <c r="I4" s="171"/>
      <c r="J4" s="171"/>
      <c r="K4" s="171"/>
      <c r="L4" s="171"/>
      <c r="M4" s="171"/>
      <c r="N4" s="171"/>
    </row>
    <row r="5" spans="1:14" x14ac:dyDescent="0.2">
      <c r="A5" s="175">
        <v>1</v>
      </c>
      <c r="B5" s="176">
        <f t="shared" si="0"/>
        <v>0.98039215686274506</v>
      </c>
      <c r="C5" s="176">
        <f t="shared" si="0"/>
        <v>0.96153846153846145</v>
      </c>
      <c r="D5" s="176">
        <f t="shared" si="0"/>
        <v>0.94339622641509424</v>
      </c>
      <c r="E5" s="176">
        <f t="shared" si="0"/>
        <v>0.92592592592592582</v>
      </c>
      <c r="F5" s="176">
        <f t="shared" si="0"/>
        <v>0.90909090909090906</v>
      </c>
      <c r="G5" s="176">
        <f t="shared" si="0"/>
        <v>0.89285714285714279</v>
      </c>
      <c r="H5" s="171"/>
      <c r="I5" s="171"/>
      <c r="J5" s="171"/>
      <c r="K5" s="171"/>
      <c r="L5" s="171"/>
      <c r="M5" s="171"/>
      <c r="N5" s="171"/>
    </row>
    <row r="6" spans="1:14" x14ac:dyDescent="0.2">
      <c r="A6" s="175">
        <v>2</v>
      </c>
      <c r="B6" s="176">
        <f t="shared" ref="B6:F19" si="1">1/(1+B$3)^$A6</f>
        <v>0.96116878123798544</v>
      </c>
      <c r="C6" s="176">
        <f t="shared" si="1"/>
        <v>0.92455621301775137</v>
      </c>
      <c r="D6" s="176">
        <f t="shared" si="1"/>
        <v>0.88999644001423983</v>
      </c>
      <c r="E6" s="176">
        <f t="shared" si="1"/>
        <v>0.85733882030178321</v>
      </c>
      <c r="F6" s="176">
        <f t="shared" si="1"/>
        <v>0.82644628099173545</v>
      </c>
      <c r="G6" s="176">
        <f t="shared" ref="G6:G19" si="2">1/(1+G$3)^$A6</f>
        <v>0.79719387755102034</v>
      </c>
      <c r="H6" s="171"/>
      <c r="I6" s="171"/>
      <c r="J6" s="171"/>
      <c r="K6" s="171"/>
      <c r="L6" s="171"/>
      <c r="M6" s="171"/>
      <c r="N6" s="171"/>
    </row>
    <row r="7" spans="1:14" x14ac:dyDescent="0.2">
      <c r="A7" s="175">
        <v>3</v>
      </c>
      <c r="B7" s="176">
        <f t="shared" si="1"/>
        <v>0.94232233454704462</v>
      </c>
      <c r="C7" s="176">
        <f t="shared" si="1"/>
        <v>0.88899635867091487</v>
      </c>
      <c r="D7" s="176">
        <f t="shared" si="1"/>
        <v>0.8396192830323016</v>
      </c>
      <c r="E7" s="176">
        <f t="shared" si="1"/>
        <v>0.79383224102016958</v>
      </c>
      <c r="F7" s="176">
        <f t="shared" si="1"/>
        <v>0.75131480090157754</v>
      </c>
      <c r="G7" s="176">
        <f t="shared" si="2"/>
        <v>0.71178024781341087</v>
      </c>
      <c r="H7" s="171"/>
      <c r="I7" s="171"/>
      <c r="J7" s="171"/>
      <c r="K7" s="171"/>
      <c r="L7" s="171"/>
      <c r="M7" s="171"/>
      <c r="N7" s="171"/>
    </row>
    <row r="8" spans="1:14" x14ac:dyDescent="0.2">
      <c r="A8" s="175">
        <v>4</v>
      </c>
      <c r="B8" s="176">
        <f t="shared" si="1"/>
        <v>0.9238454260265142</v>
      </c>
      <c r="C8" s="176">
        <f t="shared" si="1"/>
        <v>0.85480419102972571</v>
      </c>
      <c r="D8" s="176">
        <f t="shared" si="1"/>
        <v>0.79209366323802044</v>
      </c>
      <c r="E8" s="176">
        <f t="shared" si="1"/>
        <v>0.73502985279645328</v>
      </c>
      <c r="F8" s="176">
        <f t="shared" si="1"/>
        <v>0.68301345536507052</v>
      </c>
      <c r="G8" s="176">
        <f t="shared" si="2"/>
        <v>0.63551807840483121</v>
      </c>
      <c r="H8" s="171"/>
      <c r="I8" s="171"/>
      <c r="J8" s="171"/>
      <c r="K8" s="171"/>
      <c r="L8" s="171"/>
      <c r="M8" s="171"/>
      <c r="N8" s="171"/>
    </row>
    <row r="9" spans="1:14" x14ac:dyDescent="0.2">
      <c r="A9" s="175">
        <v>5</v>
      </c>
      <c r="B9" s="176">
        <f t="shared" si="1"/>
        <v>0.90573080982991594</v>
      </c>
      <c r="C9" s="176">
        <f t="shared" si="1"/>
        <v>0.82192710675935154</v>
      </c>
      <c r="D9" s="176">
        <f t="shared" si="1"/>
        <v>0.74725817286605689</v>
      </c>
      <c r="E9" s="176">
        <f t="shared" si="1"/>
        <v>0.68058319703375303</v>
      </c>
      <c r="F9" s="176">
        <f t="shared" si="1"/>
        <v>0.62092132305915493</v>
      </c>
      <c r="G9" s="176">
        <f t="shared" si="2"/>
        <v>0.56742685571859919</v>
      </c>
      <c r="H9" s="171"/>
      <c r="I9" s="171"/>
      <c r="J9" s="171"/>
      <c r="K9" s="171"/>
      <c r="L9" s="171"/>
      <c r="M9" s="171"/>
      <c r="N9" s="171"/>
    </row>
    <row r="10" spans="1:14" x14ac:dyDescent="0.2">
      <c r="A10" s="175">
        <v>6</v>
      </c>
      <c r="B10" s="176">
        <f t="shared" si="1"/>
        <v>0.88797138218619198</v>
      </c>
      <c r="C10" s="176">
        <f t="shared" si="1"/>
        <v>0.79031452573014571</v>
      </c>
      <c r="D10" s="176">
        <f t="shared" si="1"/>
        <v>0.70496054043967626</v>
      </c>
      <c r="E10" s="176">
        <f t="shared" si="1"/>
        <v>0.63016962688310452</v>
      </c>
      <c r="F10" s="176">
        <f t="shared" si="1"/>
        <v>0.56447393005377722</v>
      </c>
      <c r="G10" s="176">
        <f t="shared" si="2"/>
        <v>0.50663112117732068</v>
      </c>
      <c r="H10" s="171"/>
      <c r="I10" s="171"/>
      <c r="J10" s="171"/>
      <c r="K10" s="171"/>
      <c r="L10" s="171"/>
      <c r="M10" s="171"/>
      <c r="N10" s="171"/>
    </row>
    <row r="11" spans="1:14" x14ac:dyDescent="0.2">
      <c r="A11" s="175">
        <v>7</v>
      </c>
      <c r="B11" s="176">
        <f t="shared" si="1"/>
        <v>0.87056017861391388</v>
      </c>
      <c r="C11" s="176">
        <f t="shared" si="1"/>
        <v>0.75991781320206331</v>
      </c>
      <c r="D11" s="176">
        <f t="shared" si="1"/>
        <v>0.66505711362233599</v>
      </c>
      <c r="E11" s="176">
        <f t="shared" si="1"/>
        <v>0.58349039526213387</v>
      </c>
      <c r="F11" s="176">
        <f t="shared" si="1"/>
        <v>0.51315811823070645</v>
      </c>
      <c r="G11" s="176">
        <f t="shared" si="2"/>
        <v>0.45234921533689343</v>
      </c>
      <c r="H11" s="171"/>
      <c r="I11" s="171"/>
      <c r="J11" s="171"/>
      <c r="K11" s="171"/>
      <c r="L11" s="171"/>
      <c r="M11" s="171"/>
      <c r="N11" s="171"/>
    </row>
    <row r="12" spans="1:14" x14ac:dyDescent="0.2">
      <c r="A12" s="175">
        <v>8</v>
      </c>
      <c r="B12" s="176">
        <f t="shared" si="1"/>
        <v>0.85349037119011162</v>
      </c>
      <c r="C12" s="176">
        <f t="shared" si="1"/>
        <v>0.73069020500198378</v>
      </c>
      <c r="D12" s="176">
        <f t="shared" si="1"/>
        <v>0.62741237134182648</v>
      </c>
      <c r="E12" s="176">
        <f t="shared" si="1"/>
        <v>0.54026888450197574</v>
      </c>
      <c r="F12" s="176">
        <f t="shared" si="1"/>
        <v>0.46650738020973315</v>
      </c>
      <c r="G12" s="176">
        <f t="shared" si="2"/>
        <v>0.4038832279793691</v>
      </c>
      <c r="H12" s="171"/>
      <c r="I12" s="171"/>
      <c r="J12" s="171"/>
      <c r="K12" s="171"/>
      <c r="L12" s="171"/>
      <c r="M12" s="171"/>
      <c r="N12" s="171"/>
    </row>
    <row r="13" spans="1:14" x14ac:dyDescent="0.2">
      <c r="A13" s="175">
        <v>9</v>
      </c>
      <c r="B13" s="176">
        <f t="shared" si="1"/>
        <v>0.83675526587265847</v>
      </c>
      <c r="C13" s="176">
        <f t="shared" si="1"/>
        <v>0.70258673557883045</v>
      </c>
      <c r="D13" s="176">
        <f t="shared" si="1"/>
        <v>0.59189846353002495</v>
      </c>
      <c r="E13" s="176">
        <f t="shared" si="1"/>
        <v>0.50024896713145905</v>
      </c>
      <c r="F13" s="176">
        <f t="shared" si="1"/>
        <v>0.42409761837248466</v>
      </c>
      <c r="G13" s="176">
        <f t="shared" si="2"/>
        <v>0.36061002498157957</v>
      </c>
      <c r="H13" s="171"/>
      <c r="I13" s="171"/>
      <c r="J13" s="171"/>
      <c r="K13" s="171"/>
      <c r="L13" s="171"/>
      <c r="M13" s="171"/>
      <c r="N13" s="171"/>
    </row>
    <row r="14" spans="1:14" x14ac:dyDescent="0.2">
      <c r="A14" s="175">
        <v>10</v>
      </c>
      <c r="B14" s="176">
        <f t="shared" si="1"/>
        <v>0.82034829987515534</v>
      </c>
      <c r="C14" s="176">
        <f t="shared" si="1"/>
        <v>0.67556416882579851</v>
      </c>
      <c r="D14" s="176">
        <f t="shared" si="1"/>
        <v>0.55839477691511785</v>
      </c>
      <c r="E14" s="176">
        <f t="shared" si="1"/>
        <v>0.46319348808468425</v>
      </c>
      <c r="F14" s="176">
        <f t="shared" si="1"/>
        <v>0.38554328942953148</v>
      </c>
      <c r="G14" s="176">
        <f t="shared" si="2"/>
        <v>0.32197323659069599</v>
      </c>
      <c r="H14" s="171"/>
      <c r="I14" s="171"/>
      <c r="J14" s="171"/>
      <c r="K14" s="171"/>
      <c r="L14" s="171"/>
      <c r="M14" s="171"/>
      <c r="N14" s="171"/>
    </row>
    <row r="15" spans="1:14" x14ac:dyDescent="0.2">
      <c r="A15" s="175">
        <v>12</v>
      </c>
      <c r="B15" s="176">
        <f t="shared" si="1"/>
        <v>0.78849317558165644</v>
      </c>
      <c r="C15" s="176">
        <f t="shared" si="1"/>
        <v>0.62459704958006512</v>
      </c>
      <c r="D15" s="176">
        <f t="shared" si="1"/>
        <v>0.4969693635770005</v>
      </c>
      <c r="E15" s="176">
        <f t="shared" si="1"/>
        <v>0.39711375864599124</v>
      </c>
      <c r="F15" s="176">
        <f t="shared" si="1"/>
        <v>0.31863081771035656</v>
      </c>
      <c r="G15" s="176">
        <f t="shared" si="2"/>
        <v>0.25667509294538904</v>
      </c>
      <c r="H15" s="171"/>
      <c r="I15" s="171"/>
      <c r="J15" s="171"/>
      <c r="K15" s="171"/>
      <c r="L15" s="171"/>
      <c r="M15" s="171"/>
      <c r="N15" s="171"/>
    </row>
    <row r="16" spans="1:14" x14ac:dyDescent="0.2">
      <c r="A16" s="175">
        <v>14</v>
      </c>
      <c r="B16" s="176">
        <f t="shared" si="1"/>
        <v>0.75787502458828948</v>
      </c>
      <c r="C16" s="176">
        <f t="shared" si="1"/>
        <v>0.57747508282180582</v>
      </c>
      <c r="D16" s="176">
        <f t="shared" si="1"/>
        <v>0.44230096437967292</v>
      </c>
      <c r="E16" s="176">
        <f t="shared" si="1"/>
        <v>0.34046104136316119</v>
      </c>
      <c r="F16" s="176">
        <f t="shared" si="1"/>
        <v>0.26333125430607973</v>
      </c>
      <c r="G16" s="176">
        <f t="shared" si="2"/>
        <v>0.20461981261590317</v>
      </c>
      <c r="H16" s="171"/>
      <c r="I16" s="171"/>
      <c r="J16" s="171"/>
      <c r="K16" s="171"/>
      <c r="L16" s="171"/>
      <c r="M16" s="171"/>
      <c r="N16" s="171"/>
    </row>
    <row r="17" spans="1:14" x14ac:dyDescent="0.2">
      <c r="A17" s="175">
        <v>16</v>
      </c>
      <c r="B17" s="176">
        <f t="shared" si="1"/>
        <v>0.72844581371423445</v>
      </c>
      <c r="C17" s="176">
        <f t="shared" si="1"/>
        <v>0.53390817568584104</v>
      </c>
      <c r="D17" s="176">
        <f t="shared" si="1"/>
        <v>0.39364628371277405</v>
      </c>
      <c r="E17" s="176">
        <f t="shared" si="1"/>
        <v>0.29189046756100923</v>
      </c>
      <c r="F17" s="176">
        <f t="shared" si="1"/>
        <v>0.21762913579014853</v>
      </c>
      <c r="G17" s="176">
        <f t="shared" si="2"/>
        <v>0.16312166184303503</v>
      </c>
      <c r="H17" s="171"/>
      <c r="I17" s="171"/>
      <c r="J17" s="171"/>
      <c r="K17" s="171"/>
      <c r="L17" s="171"/>
      <c r="M17" s="171"/>
      <c r="N17" s="171"/>
    </row>
    <row r="18" spans="1:14" x14ac:dyDescent="0.2">
      <c r="A18" s="175">
        <v>18</v>
      </c>
      <c r="B18" s="176">
        <f t="shared" si="1"/>
        <v>0.7001593749656233</v>
      </c>
      <c r="C18" s="176">
        <f t="shared" si="1"/>
        <v>0.49362812101131748</v>
      </c>
      <c r="D18" s="176">
        <f t="shared" si="1"/>
        <v>0.35034379112920433</v>
      </c>
      <c r="E18" s="176">
        <f t="shared" si="1"/>
        <v>0.25024902911609154</v>
      </c>
      <c r="F18" s="176">
        <f t="shared" si="1"/>
        <v>0.17985878990921364</v>
      </c>
      <c r="G18" s="176">
        <f t="shared" si="2"/>
        <v>0.13003959011721541</v>
      </c>
      <c r="H18" s="171"/>
      <c r="I18" s="171"/>
      <c r="J18" s="171"/>
      <c r="K18" s="171"/>
      <c r="L18" s="171"/>
      <c r="M18" s="171"/>
      <c r="N18" s="171"/>
    </row>
    <row r="19" spans="1:14" x14ac:dyDescent="0.2">
      <c r="A19" s="175">
        <v>20</v>
      </c>
      <c r="B19" s="176">
        <f t="shared" si="1"/>
        <v>0.67297133310805779</v>
      </c>
      <c r="C19" s="176">
        <f t="shared" si="1"/>
        <v>0.45638694620129205</v>
      </c>
      <c r="D19" s="176">
        <f t="shared" si="1"/>
        <v>0.31180472688608429</v>
      </c>
      <c r="E19" s="176">
        <f t="shared" si="1"/>
        <v>0.21454820740405653</v>
      </c>
      <c r="F19" s="176">
        <f t="shared" si="1"/>
        <v>0.14864362802414349</v>
      </c>
      <c r="G19" s="176">
        <f t="shared" si="2"/>
        <v>0.1036667650806883</v>
      </c>
      <c r="H19" s="171"/>
      <c r="I19" s="171"/>
      <c r="J19" s="171"/>
      <c r="K19" s="171"/>
      <c r="L19" s="171"/>
      <c r="M19" s="171"/>
      <c r="N19" s="171"/>
    </row>
    <row r="20" spans="1:14" x14ac:dyDescent="0.2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</row>
    <row r="21" spans="1:14" x14ac:dyDescent="0.2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</row>
    <row r="22" spans="1:14" x14ac:dyDescent="0.2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</row>
    <row r="23" spans="1:14" x14ac:dyDescent="0.2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</row>
    <row r="24" spans="1:14" x14ac:dyDescent="0.2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</row>
    <row r="25" spans="1:14" x14ac:dyDescent="0.2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</row>
    <row r="26" spans="1:14" x14ac:dyDescent="0.2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</row>
    <row r="27" spans="1:14" x14ac:dyDescent="0.2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</row>
    <row r="28" spans="1:14" x14ac:dyDescent="0.2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</row>
    <row r="29" spans="1:14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</sheetData>
  <mergeCells count="1">
    <mergeCell ref="B2:G2"/>
  </mergeCells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E4" sqref="E4"/>
    </sheetView>
  </sheetViews>
  <sheetFormatPr baseColWidth="10" defaultRowHeight="12.75" x14ac:dyDescent="0.2"/>
  <cols>
    <col min="1" max="1" width="13.42578125" style="172" customWidth="1"/>
    <col min="2" max="2" width="14.42578125" style="172" customWidth="1"/>
    <col min="3" max="3" width="12.140625" style="172" customWidth="1"/>
    <col min="4" max="4" width="4.28515625" style="172" customWidth="1"/>
    <col min="5" max="5" width="14.28515625" style="172" customWidth="1"/>
    <col min="6" max="6" width="12.5703125" style="172" customWidth="1"/>
    <col min="7" max="7" width="14.85546875" style="172" customWidth="1"/>
    <col min="8" max="16384" width="11.42578125" style="172"/>
  </cols>
  <sheetData>
    <row r="1" spans="1:7" ht="15.75" x14ac:dyDescent="0.25">
      <c r="A1" s="177" t="s">
        <v>192</v>
      </c>
      <c r="B1" s="178"/>
      <c r="C1" s="178"/>
      <c r="D1" s="178"/>
      <c r="E1" s="178"/>
      <c r="F1" s="178"/>
      <c r="G1" s="178"/>
    </row>
    <row r="2" spans="1:7" ht="15.75" x14ac:dyDescent="0.25">
      <c r="A2" s="177"/>
      <c r="B2" s="178"/>
      <c r="C2" s="178"/>
      <c r="D2" s="178"/>
      <c r="E2" s="178"/>
      <c r="F2" s="178"/>
      <c r="G2" s="178"/>
    </row>
    <row r="3" spans="1:7" x14ac:dyDescent="0.2">
      <c r="A3" s="178"/>
      <c r="B3" s="179" t="s">
        <v>194</v>
      </c>
      <c r="C3" s="185"/>
      <c r="D3" s="185"/>
      <c r="E3" s="179" t="s">
        <v>193</v>
      </c>
      <c r="F3" s="178"/>
      <c r="G3" s="178"/>
    </row>
    <row r="4" spans="1:7" x14ac:dyDescent="0.2">
      <c r="A4" s="181" t="s">
        <v>1</v>
      </c>
      <c r="B4" s="182">
        <v>7.0000000000000007E-2</v>
      </c>
      <c r="C4" s="185"/>
      <c r="D4" s="185"/>
      <c r="E4" s="182">
        <v>0.04</v>
      </c>
      <c r="F4" s="178"/>
      <c r="G4" s="178"/>
    </row>
    <row r="5" spans="1:7" x14ac:dyDescent="0.2">
      <c r="A5" s="185"/>
      <c r="B5" s="185"/>
      <c r="C5" s="185"/>
      <c r="D5" s="185"/>
      <c r="E5" s="185"/>
      <c r="F5" s="185"/>
      <c r="G5" s="178"/>
    </row>
    <row r="6" spans="1:7" ht="29.25" customHeight="1" x14ac:dyDescent="0.2">
      <c r="A6" s="243" t="s">
        <v>231</v>
      </c>
      <c r="B6" s="243" t="s">
        <v>82</v>
      </c>
      <c r="C6" s="248" t="s">
        <v>232</v>
      </c>
      <c r="D6" s="185"/>
      <c r="E6" s="244" t="s">
        <v>82</v>
      </c>
      <c r="F6" s="248" t="s">
        <v>232</v>
      </c>
      <c r="G6" s="178"/>
    </row>
    <row r="7" spans="1:7" x14ac:dyDescent="0.2">
      <c r="A7" s="245" t="s">
        <v>4</v>
      </c>
      <c r="B7" s="183">
        <v>0</v>
      </c>
      <c r="C7" s="184">
        <f>B7</f>
        <v>0</v>
      </c>
      <c r="D7" s="185"/>
      <c r="E7" s="183">
        <v>0</v>
      </c>
      <c r="F7" s="184">
        <f>E7</f>
        <v>0</v>
      </c>
      <c r="G7" s="178"/>
    </row>
    <row r="8" spans="1:7" x14ac:dyDescent="0.2">
      <c r="A8" s="246">
        <v>8.3333333333333329E-2</v>
      </c>
      <c r="B8" s="183">
        <v>0</v>
      </c>
      <c r="C8" s="184">
        <f>B8*IF(A8&lt;1,1/(1+A8*$B$4),1/(1+$B$4)^A8)</f>
        <v>0</v>
      </c>
      <c r="D8" s="185"/>
      <c r="E8" s="183">
        <v>0</v>
      </c>
      <c r="F8" s="184">
        <f>E8*IF(A8&lt;1,1/(1+A8*$E$4),1/(1+$E$4)^A8)</f>
        <v>0</v>
      </c>
      <c r="G8" s="178"/>
    </row>
    <row r="9" spans="1:7" x14ac:dyDescent="0.2">
      <c r="A9" s="246">
        <v>0.5</v>
      </c>
      <c r="B9" s="183">
        <v>0</v>
      </c>
      <c r="C9" s="184">
        <f t="shared" ref="C9:C17" si="0">B9*IF(A9&lt;1,1/(1+A9*$B$4),1/(1+$B$4)^A9)</f>
        <v>0</v>
      </c>
      <c r="D9" s="185"/>
      <c r="E9" s="183">
        <v>1000</v>
      </c>
      <c r="F9" s="184">
        <f t="shared" ref="F9:F17" si="1">E9*IF(A9&lt;1,1/(1+A9*$E$4),1/(1+$E$4)^A9)</f>
        <v>980.39215686274508</v>
      </c>
      <c r="G9" s="178"/>
    </row>
    <row r="10" spans="1:7" x14ac:dyDescent="0.2">
      <c r="A10" s="247">
        <v>1</v>
      </c>
      <c r="B10" s="183">
        <v>1400</v>
      </c>
      <c r="C10" s="184">
        <f t="shared" si="0"/>
        <v>1308.4112149532709</v>
      </c>
      <c r="D10" s="185"/>
      <c r="E10" s="183">
        <v>0</v>
      </c>
      <c r="F10" s="184">
        <f t="shared" si="1"/>
        <v>0</v>
      </c>
      <c r="G10" s="178"/>
    </row>
    <row r="11" spans="1:7" x14ac:dyDescent="0.2">
      <c r="A11" s="247">
        <v>2</v>
      </c>
      <c r="B11" s="183">
        <v>0</v>
      </c>
      <c r="C11" s="184">
        <f t="shared" si="0"/>
        <v>0</v>
      </c>
      <c r="D11" s="185"/>
      <c r="E11" s="183">
        <v>2000</v>
      </c>
      <c r="F11" s="184">
        <f t="shared" si="1"/>
        <v>1849.1124260355027</v>
      </c>
      <c r="G11" s="178"/>
    </row>
    <row r="12" spans="1:7" x14ac:dyDescent="0.2">
      <c r="A12" s="247">
        <v>3</v>
      </c>
      <c r="B12" s="183">
        <v>3000</v>
      </c>
      <c r="C12" s="184">
        <f t="shared" si="0"/>
        <v>2448.8936306725554</v>
      </c>
      <c r="D12" s="185"/>
      <c r="E12" s="183">
        <v>0</v>
      </c>
      <c r="F12" s="184">
        <f t="shared" si="1"/>
        <v>0</v>
      </c>
      <c r="G12" s="178"/>
    </row>
    <row r="13" spans="1:7" x14ac:dyDescent="0.2">
      <c r="A13" s="247">
        <v>4</v>
      </c>
      <c r="B13" s="183">
        <v>0</v>
      </c>
      <c r="C13" s="184">
        <f t="shared" si="0"/>
        <v>0</v>
      </c>
      <c r="D13" s="185"/>
      <c r="E13" s="183">
        <v>0</v>
      </c>
      <c r="F13" s="184">
        <f t="shared" si="1"/>
        <v>0</v>
      </c>
      <c r="G13" s="178"/>
    </row>
    <row r="14" spans="1:7" x14ac:dyDescent="0.2">
      <c r="A14" s="247">
        <v>5</v>
      </c>
      <c r="B14" s="183">
        <v>0</v>
      </c>
      <c r="C14" s="184">
        <f t="shared" si="0"/>
        <v>0</v>
      </c>
      <c r="D14" s="185"/>
      <c r="E14" s="183">
        <v>0</v>
      </c>
      <c r="F14" s="184">
        <f t="shared" si="1"/>
        <v>0</v>
      </c>
      <c r="G14" s="178"/>
    </row>
    <row r="15" spans="1:7" x14ac:dyDescent="0.2">
      <c r="A15" s="247">
        <v>6</v>
      </c>
      <c r="B15" s="183">
        <v>0</v>
      </c>
      <c r="C15" s="184">
        <f t="shared" si="0"/>
        <v>0</v>
      </c>
      <c r="D15" s="185"/>
      <c r="E15" s="183">
        <v>0</v>
      </c>
      <c r="F15" s="184">
        <f t="shared" si="1"/>
        <v>0</v>
      </c>
      <c r="G15" s="178"/>
    </row>
    <row r="16" spans="1:7" x14ac:dyDescent="0.2">
      <c r="A16" s="247">
        <v>7</v>
      </c>
      <c r="B16" s="183">
        <v>0</v>
      </c>
      <c r="C16" s="184">
        <f t="shared" si="0"/>
        <v>0</v>
      </c>
      <c r="D16" s="185"/>
      <c r="E16" s="183">
        <v>0</v>
      </c>
      <c r="F16" s="184">
        <f t="shared" si="1"/>
        <v>0</v>
      </c>
      <c r="G16" s="178"/>
    </row>
    <row r="17" spans="1:7" x14ac:dyDescent="0.2">
      <c r="A17" s="247">
        <v>8</v>
      </c>
      <c r="B17" s="183">
        <v>0</v>
      </c>
      <c r="C17" s="184">
        <f t="shared" si="0"/>
        <v>0</v>
      </c>
      <c r="D17" s="185"/>
      <c r="E17" s="183">
        <v>0</v>
      </c>
      <c r="F17" s="184">
        <f t="shared" si="1"/>
        <v>0</v>
      </c>
      <c r="G17" s="178"/>
    </row>
    <row r="18" spans="1:7" x14ac:dyDescent="0.2">
      <c r="A18" s="186"/>
      <c r="B18" s="180"/>
      <c r="C18" s="180"/>
      <c r="D18" s="185"/>
      <c r="E18" s="180"/>
      <c r="F18" s="178"/>
      <c r="G18" s="178"/>
    </row>
    <row r="19" spans="1:7" x14ac:dyDescent="0.2">
      <c r="A19" s="187"/>
      <c r="B19" s="188" t="s">
        <v>16</v>
      </c>
      <c r="C19" s="189">
        <f>SUM(C7:C17)</f>
        <v>3757.3048456258266</v>
      </c>
      <c r="D19" s="190"/>
      <c r="E19" s="188" t="s">
        <v>16</v>
      </c>
      <c r="F19" s="189">
        <f>SUM(F7:F17)</f>
        <v>2829.5045828982479</v>
      </c>
      <c r="G19" s="178"/>
    </row>
    <row r="20" spans="1:7" x14ac:dyDescent="0.2">
      <c r="A20" s="191"/>
      <c r="B20" s="185"/>
      <c r="C20" s="185"/>
      <c r="D20" s="185"/>
      <c r="E20" s="185"/>
      <c r="F20" s="178"/>
      <c r="G20" s="178"/>
    </row>
  </sheetData>
  <phoneticPr fontId="2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 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18"/>
  <sheetViews>
    <sheetView workbookViewId="0">
      <selection activeCell="B7" sqref="B7"/>
    </sheetView>
  </sheetViews>
  <sheetFormatPr baseColWidth="10" defaultRowHeight="12.75" x14ac:dyDescent="0.2"/>
  <cols>
    <col min="1" max="1" width="10" customWidth="1"/>
    <col min="6" max="6" width="15.28515625" customWidth="1"/>
  </cols>
  <sheetData>
    <row r="1" spans="1:8" x14ac:dyDescent="0.2">
      <c r="A1" s="39" t="s">
        <v>214</v>
      </c>
      <c r="B1" s="19"/>
      <c r="C1" s="19"/>
      <c r="D1" s="19"/>
      <c r="E1" s="19"/>
      <c r="F1" s="19"/>
      <c r="G1" s="19"/>
      <c r="H1" s="19"/>
    </row>
    <row r="2" spans="1:8" x14ac:dyDescent="0.2">
      <c r="A2" s="39" t="s">
        <v>118</v>
      </c>
      <c r="B2" s="19"/>
      <c r="C2" s="19"/>
      <c r="D2" s="19"/>
      <c r="E2" s="19"/>
      <c r="F2" s="19"/>
      <c r="G2" s="19"/>
      <c r="H2" s="19"/>
    </row>
    <row r="3" spans="1:8" x14ac:dyDescent="0.2">
      <c r="A3" s="19"/>
      <c r="B3" s="19"/>
      <c r="C3" s="19"/>
      <c r="D3" s="19"/>
      <c r="E3" s="19"/>
      <c r="F3" s="108" t="s">
        <v>119</v>
      </c>
      <c r="G3" s="19"/>
      <c r="H3" s="19"/>
    </row>
    <row r="4" spans="1:8" x14ac:dyDescent="0.2">
      <c r="A4" s="64" t="s">
        <v>108</v>
      </c>
      <c r="B4" s="64" t="s">
        <v>120</v>
      </c>
      <c r="C4" s="64" t="s">
        <v>83</v>
      </c>
      <c r="D4" s="64" t="s">
        <v>121</v>
      </c>
      <c r="E4" s="64" t="s">
        <v>182</v>
      </c>
      <c r="F4" s="151" t="s">
        <v>122</v>
      </c>
      <c r="G4" s="19"/>
      <c r="H4" s="19"/>
    </row>
    <row r="5" spans="1:8" x14ac:dyDescent="0.2">
      <c r="A5" s="18">
        <v>1</v>
      </c>
      <c r="B5" s="41">
        <v>940.7</v>
      </c>
      <c r="C5" s="65">
        <v>1000</v>
      </c>
      <c r="D5" s="66">
        <f>C5/B5-1</f>
        <v>6.3038163070054054E-2</v>
      </c>
      <c r="E5" s="98">
        <f t="shared" ref="E5:E6" si="0">IF(B5="","",(1+D5)^(-A5))</f>
        <v>0.94070000000000009</v>
      </c>
      <c r="F5" s="66">
        <f>D5</f>
        <v>6.3038163070054054E-2</v>
      </c>
      <c r="G5" s="19"/>
      <c r="H5" s="19"/>
    </row>
    <row r="6" spans="1:8" x14ac:dyDescent="0.2">
      <c r="A6" s="18">
        <v>2</v>
      </c>
      <c r="B6" s="41">
        <v>889.2</v>
      </c>
      <c r="C6" s="65">
        <v>1000</v>
      </c>
      <c r="D6" s="66">
        <f>(C6/B6)^(1/2)-1</f>
        <v>6.0474604959629641E-2</v>
      </c>
      <c r="E6" s="98">
        <f t="shared" si="0"/>
        <v>0.88919999999999999</v>
      </c>
      <c r="F6" s="66">
        <f>IF(B6="","",(B5-B6)/B6)</f>
        <v>5.7917228969860547E-2</v>
      </c>
      <c r="G6" s="19"/>
      <c r="H6" s="19"/>
    </row>
    <row r="7" spans="1:8" x14ac:dyDescent="0.2">
      <c r="A7" s="18">
        <v>3</v>
      </c>
      <c r="B7" s="41">
        <v>839.1</v>
      </c>
      <c r="C7" s="65">
        <v>1000</v>
      </c>
      <c r="D7" s="66">
        <f>(C7/B7)^(1/3)-1</f>
        <v>6.0218617767191063E-2</v>
      </c>
      <c r="E7" s="98">
        <f>IF(B7="","",(1+D7)^(-A7))</f>
        <v>0.8391000000000004</v>
      </c>
      <c r="F7" s="66">
        <f t="shared" ref="F7:F14" si="1">IF(B7="","",(B6-B7)/B7)</f>
        <v>5.9706828745084047E-2</v>
      </c>
      <c r="G7" s="19"/>
      <c r="H7" s="19"/>
    </row>
    <row r="8" spans="1:8" x14ac:dyDescent="0.2">
      <c r="A8" s="18">
        <v>4</v>
      </c>
      <c r="B8" s="33"/>
      <c r="C8" s="33"/>
      <c r="D8" s="66" t="str">
        <f>IF(B8="","",(C8/B8)^(1/4)-1)</f>
        <v/>
      </c>
      <c r="E8" s="98" t="str">
        <f>IF(B8="","",(1+D8)^(-A8))</f>
        <v/>
      </c>
      <c r="F8" s="66" t="str">
        <f t="shared" si="1"/>
        <v/>
      </c>
      <c r="G8" s="19"/>
      <c r="H8" s="19"/>
    </row>
    <row r="9" spans="1:8" x14ac:dyDescent="0.2">
      <c r="A9" s="18">
        <v>5</v>
      </c>
      <c r="B9" s="33"/>
      <c r="C9" s="33"/>
      <c r="D9" s="66" t="str">
        <f t="shared" ref="D9:D14" si="2">IF(B9="","",(C9/B9)^(1/4)-1)</f>
        <v/>
      </c>
      <c r="E9" s="98" t="str">
        <f t="shared" ref="E9:E14" si="3">IF(B9="","",(1+D9)^(-A9))</f>
        <v/>
      </c>
      <c r="F9" s="66" t="str">
        <f t="shared" si="1"/>
        <v/>
      </c>
      <c r="G9" s="19"/>
      <c r="H9" s="19"/>
    </row>
    <row r="10" spans="1:8" x14ac:dyDescent="0.2">
      <c r="A10" s="18">
        <v>6</v>
      </c>
      <c r="B10" s="33"/>
      <c r="C10" s="33"/>
      <c r="D10" s="66" t="str">
        <f t="shared" si="2"/>
        <v/>
      </c>
      <c r="E10" s="98" t="str">
        <f t="shared" si="3"/>
        <v/>
      </c>
      <c r="F10" s="66" t="str">
        <f t="shared" si="1"/>
        <v/>
      </c>
      <c r="G10" s="19"/>
      <c r="H10" s="19"/>
    </row>
    <row r="11" spans="1:8" x14ac:dyDescent="0.2">
      <c r="A11" s="18">
        <v>7</v>
      </c>
      <c r="B11" s="33"/>
      <c r="C11" s="33"/>
      <c r="D11" s="66" t="str">
        <f t="shared" si="2"/>
        <v/>
      </c>
      <c r="E11" s="98" t="str">
        <f t="shared" si="3"/>
        <v/>
      </c>
      <c r="F11" s="66" t="str">
        <f t="shared" si="1"/>
        <v/>
      </c>
      <c r="G11" s="19"/>
      <c r="H11" s="19"/>
    </row>
    <row r="12" spans="1:8" x14ac:dyDescent="0.2">
      <c r="A12" s="18">
        <v>8</v>
      </c>
      <c r="B12" s="33"/>
      <c r="C12" s="33"/>
      <c r="D12" s="66" t="str">
        <f t="shared" si="2"/>
        <v/>
      </c>
      <c r="E12" s="98" t="str">
        <f t="shared" si="3"/>
        <v/>
      </c>
      <c r="F12" s="66" t="str">
        <f t="shared" si="1"/>
        <v/>
      </c>
      <c r="G12" s="19"/>
      <c r="H12" s="19"/>
    </row>
    <row r="13" spans="1:8" x14ac:dyDescent="0.2">
      <c r="A13" s="18">
        <v>9</v>
      </c>
      <c r="B13" s="33"/>
      <c r="C13" s="33"/>
      <c r="D13" s="66" t="str">
        <f t="shared" si="2"/>
        <v/>
      </c>
      <c r="E13" s="98" t="str">
        <f t="shared" si="3"/>
        <v/>
      </c>
      <c r="F13" s="66" t="str">
        <f t="shared" si="1"/>
        <v/>
      </c>
      <c r="G13" s="19"/>
      <c r="H13" s="19"/>
    </row>
    <row r="14" spans="1:8" x14ac:dyDescent="0.2">
      <c r="A14" s="18">
        <v>10</v>
      </c>
      <c r="B14" s="33"/>
      <c r="C14" s="33"/>
      <c r="D14" s="66" t="str">
        <f t="shared" si="2"/>
        <v/>
      </c>
      <c r="E14" s="98" t="str">
        <f t="shared" si="3"/>
        <v/>
      </c>
      <c r="F14" s="66" t="str">
        <f t="shared" si="1"/>
        <v/>
      </c>
      <c r="G14" s="19"/>
      <c r="H14" s="19"/>
    </row>
    <row r="15" spans="1:8" x14ac:dyDescent="0.2">
      <c r="A15" s="19"/>
      <c r="B15" s="19"/>
      <c r="C15" s="19"/>
      <c r="D15" s="19"/>
      <c r="E15" s="19"/>
      <c r="F15" s="19"/>
      <c r="G15" s="19"/>
      <c r="H15" s="19"/>
    </row>
    <row r="16" spans="1:8" x14ac:dyDescent="0.2">
      <c r="A16" s="19"/>
      <c r="B16" s="264" t="s">
        <v>269</v>
      </c>
      <c r="C16" s="262" t="s">
        <v>267</v>
      </c>
      <c r="D16" s="62">
        <f>((1+D7)^3/(1+D5))^0.5-1</f>
        <v>5.8811650760624001E-2</v>
      </c>
      <c r="E16" s="19"/>
      <c r="F16" s="19"/>
      <c r="G16" s="19"/>
      <c r="H16" s="19"/>
    </row>
    <row r="17" spans="1:8" ht="12" customHeight="1" x14ac:dyDescent="0.2">
      <c r="A17" s="39" t="s">
        <v>268</v>
      </c>
      <c r="B17" s="19"/>
      <c r="C17" s="19"/>
      <c r="D17" s="19"/>
      <c r="E17" s="19"/>
      <c r="F17" s="19"/>
      <c r="G17" s="19"/>
      <c r="H17" s="19"/>
    </row>
    <row r="18" spans="1:8" x14ac:dyDescent="0.2">
      <c r="A18" s="19"/>
      <c r="B18" s="19"/>
      <c r="C18" s="19"/>
      <c r="D18" s="19"/>
      <c r="E18" s="19"/>
      <c r="F18" s="19"/>
      <c r="G18" s="19"/>
      <c r="H18" s="19"/>
    </row>
  </sheetData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3" sqref="B3"/>
    </sheetView>
  </sheetViews>
  <sheetFormatPr baseColWidth="10" defaultRowHeight="12.75" x14ac:dyDescent="0.2"/>
  <sheetData>
    <row r="1" spans="1:7" x14ac:dyDescent="0.2">
      <c r="A1" s="19"/>
      <c r="B1" s="19"/>
      <c r="C1" s="19"/>
      <c r="D1" s="19"/>
      <c r="E1" s="19"/>
      <c r="F1" s="19"/>
      <c r="G1" s="19"/>
    </row>
    <row r="2" spans="1:7" x14ac:dyDescent="0.2">
      <c r="A2" s="19" t="s">
        <v>180</v>
      </c>
      <c r="B2" s="19"/>
      <c r="C2" s="19"/>
      <c r="D2" s="19" t="s">
        <v>183</v>
      </c>
      <c r="E2" s="19"/>
      <c r="F2" s="19"/>
      <c r="G2" s="19"/>
    </row>
    <row r="3" spans="1:7" x14ac:dyDescent="0.2">
      <c r="A3" s="19" t="s">
        <v>1</v>
      </c>
      <c r="B3" s="168">
        <v>0.04</v>
      </c>
      <c r="C3" s="19"/>
      <c r="D3" s="19" t="s">
        <v>1</v>
      </c>
      <c r="E3" s="168">
        <v>0.04</v>
      </c>
      <c r="F3" s="19"/>
      <c r="G3" s="19"/>
    </row>
    <row r="4" spans="1:7" x14ac:dyDescent="0.2">
      <c r="A4" s="19"/>
      <c r="B4" s="19"/>
      <c r="C4" s="19"/>
      <c r="D4" s="19"/>
      <c r="E4" s="19"/>
      <c r="F4" s="19"/>
      <c r="G4" s="19"/>
    </row>
    <row r="5" spans="1:7" x14ac:dyDescent="0.2">
      <c r="A5" s="18" t="s">
        <v>181</v>
      </c>
      <c r="B5" s="18" t="s">
        <v>182</v>
      </c>
      <c r="C5" s="19"/>
      <c r="D5" s="18" t="s">
        <v>181</v>
      </c>
      <c r="E5" s="18" t="s">
        <v>182</v>
      </c>
      <c r="F5" s="19"/>
      <c r="G5" s="19"/>
    </row>
    <row r="6" spans="1:7" x14ac:dyDescent="0.2">
      <c r="A6" s="18">
        <v>0</v>
      </c>
      <c r="B6" s="18">
        <f>1/(1+$B$3*A6)</f>
        <v>1</v>
      </c>
      <c r="C6" s="19"/>
      <c r="D6" s="18">
        <v>0</v>
      </c>
      <c r="E6" s="18">
        <f>1/(1+$E$3)^D6</f>
        <v>1</v>
      </c>
      <c r="F6" s="19"/>
      <c r="G6" s="19"/>
    </row>
    <row r="7" spans="1:7" x14ac:dyDescent="0.2">
      <c r="A7" s="33">
        <v>0.5</v>
      </c>
      <c r="B7" s="18">
        <f>1/(1+$B$3*A7)</f>
        <v>0.98039215686274506</v>
      </c>
      <c r="C7" s="19"/>
      <c r="D7" s="33">
        <v>3</v>
      </c>
      <c r="E7" s="18">
        <f>1/(1+$E$3)^D7</f>
        <v>0.88899635867091487</v>
      </c>
      <c r="F7" s="19"/>
      <c r="G7" s="19"/>
    </row>
    <row r="8" spans="1:7" x14ac:dyDescent="0.2">
      <c r="A8" s="19"/>
      <c r="B8" s="19"/>
      <c r="C8" s="19"/>
      <c r="D8" s="19"/>
      <c r="E8" s="19"/>
      <c r="F8" s="19"/>
      <c r="G8" s="19"/>
    </row>
    <row r="9" spans="1:7" x14ac:dyDescent="0.2">
      <c r="A9" s="19"/>
      <c r="B9" s="19"/>
      <c r="C9" s="19"/>
      <c r="D9" s="19"/>
      <c r="E9" s="19"/>
      <c r="F9" s="19"/>
      <c r="G9" s="19"/>
    </row>
    <row r="10" spans="1:7" x14ac:dyDescent="0.2">
      <c r="A10" s="44" t="s">
        <v>184</v>
      </c>
      <c r="B10" s="19">
        <f>A7</f>
        <v>0.5</v>
      </c>
      <c r="C10" s="19">
        <f>D7</f>
        <v>3</v>
      </c>
      <c r="D10" s="19" t="s">
        <v>185</v>
      </c>
      <c r="E10" s="19">
        <f>E7/B7</f>
        <v>0.90677628584433323</v>
      </c>
      <c r="F10" s="19"/>
      <c r="G10" s="19"/>
    </row>
    <row r="11" spans="1:7" x14ac:dyDescent="0.2">
      <c r="A11" s="19"/>
      <c r="B11" s="19"/>
      <c r="C11" s="19"/>
      <c r="D11" s="19"/>
      <c r="E11" s="19"/>
      <c r="F11" s="19"/>
      <c r="G11" s="19"/>
    </row>
    <row r="12" spans="1:7" x14ac:dyDescent="0.2">
      <c r="A12" s="19" t="s">
        <v>186</v>
      </c>
      <c r="B12" s="19"/>
      <c r="C12" s="19"/>
      <c r="D12" s="43">
        <f>(1/E10)^(1/(D7-A7))-1</f>
        <v>3.9920018456332862E-2</v>
      </c>
      <c r="E12" s="19"/>
      <c r="F12" s="19"/>
      <c r="G12" s="19"/>
    </row>
    <row r="13" spans="1:7" x14ac:dyDescent="0.2">
      <c r="A13" s="19"/>
      <c r="B13" s="19"/>
      <c r="C13" s="19"/>
      <c r="D13" s="19"/>
      <c r="E13" s="19"/>
      <c r="F13" s="19"/>
      <c r="G13" s="19"/>
    </row>
    <row r="14" spans="1:7" x14ac:dyDescent="0.2">
      <c r="A14" s="19"/>
      <c r="B14" s="19"/>
      <c r="C14" s="19"/>
      <c r="D14" s="19"/>
      <c r="E14" s="19"/>
      <c r="F14" s="19"/>
      <c r="G14" s="19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E15"/>
  <sheetViews>
    <sheetView workbookViewId="0">
      <selection activeCell="B4" sqref="B4"/>
    </sheetView>
  </sheetViews>
  <sheetFormatPr baseColWidth="10" defaultRowHeight="12.75" x14ac:dyDescent="0.2"/>
  <cols>
    <col min="1" max="1" width="13.28515625" customWidth="1"/>
  </cols>
  <sheetData>
    <row r="1" spans="1:5" x14ac:dyDescent="0.2">
      <c r="A1" s="39" t="s">
        <v>123</v>
      </c>
      <c r="B1" s="19"/>
      <c r="C1" s="19"/>
      <c r="D1" s="19"/>
      <c r="E1" s="19"/>
    </row>
    <row r="2" spans="1:5" x14ac:dyDescent="0.2">
      <c r="A2" s="19"/>
      <c r="B2" s="19"/>
      <c r="C2" s="19"/>
      <c r="D2" s="19"/>
      <c r="E2" s="19"/>
    </row>
    <row r="3" spans="1:5" x14ac:dyDescent="0.2">
      <c r="A3" s="18" t="s">
        <v>124</v>
      </c>
      <c r="B3" s="18">
        <v>0</v>
      </c>
      <c r="C3" s="18">
        <v>1</v>
      </c>
      <c r="D3" s="18">
        <v>2</v>
      </c>
      <c r="E3" s="19"/>
    </row>
    <row r="4" spans="1:5" x14ac:dyDescent="0.2">
      <c r="A4" s="129">
        <v>3</v>
      </c>
      <c r="B4" s="65">
        <v>-100000</v>
      </c>
      <c r="C4" s="65">
        <v>56000</v>
      </c>
      <c r="D4" s="65">
        <v>56000</v>
      </c>
      <c r="E4" s="19"/>
    </row>
    <row r="5" spans="1:5" x14ac:dyDescent="0.2">
      <c r="A5" s="19"/>
      <c r="B5" s="19"/>
      <c r="C5" s="19"/>
      <c r="D5" s="19"/>
      <c r="E5" s="19"/>
    </row>
    <row r="6" spans="1:5" x14ac:dyDescent="0.2">
      <c r="A6" s="19" t="s">
        <v>125</v>
      </c>
      <c r="B6" s="19"/>
      <c r="C6" s="19"/>
      <c r="D6" s="19"/>
      <c r="E6" s="19"/>
    </row>
    <row r="7" spans="1:5" x14ac:dyDescent="0.2">
      <c r="A7" s="128">
        <v>1</v>
      </c>
      <c r="B7" s="19" t="s">
        <v>126</v>
      </c>
      <c r="C7" s="19"/>
      <c r="D7" s="63">
        <v>0.05</v>
      </c>
      <c r="E7" s="19"/>
    </row>
    <row r="8" spans="1:5" x14ac:dyDescent="0.2">
      <c r="A8" s="128">
        <v>2</v>
      </c>
      <c r="B8" s="19" t="s">
        <v>127</v>
      </c>
      <c r="C8" s="19"/>
      <c r="D8" s="63">
        <v>0.04</v>
      </c>
      <c r="E8" s="19"/>
    </row>
    <row r="9" spans="1:5" x14ac:dyDescent="0.2">
      <c r="A9" s="19"/>
      <c r="B9" s="19"/>
      <c r="C9" s="19"/>
      <c r="D9" s="19"/>
      <c r="E9" s="19"/>
    </row>
    <row r="10" spans="1:5" x14ac:dyDescent="0.2">
      <c r="A10" s="18" t="s">
        <v>124</v>
      </c>
      <c r="B10" s="18">
        <v>0</v>
      </c>
      <c r="C10" s="18">
        <v>1</v>
      </c>
      <c r="D10" s="18">
        <v>2</v>
      </c>
      <c r="E10" s="19"/>
    </row>
    <row r="11" spans="1:5" x14ac:dyDescent="0.2">
      <c r="A11" s="129">
        <v>1</v>
      </c>
      <c r="B11" s="69">
        <f>-D11/(1+D7)^2</f>
        <v>50793.650793650791</v>
      </c>
      <c r="C11" s="18"/>
      <c r="D11" s="69">
        <f>-D4</f>
        <v>-56000</v>
      </c>
      <c r="E11" s="19"/>
    </row>
    <row r="12" spans="1:5" x14ac:dyDescent="0.2">
      <c r="A12" s="129">
        <v>2</v>
      </c>
      <c r="B12" s="69">
        <f>-C12/(1+D8)</f>
        <v>53846.153846153844</v>
      </c>
      <c r="C12" s="69">
        <f>-C4</f>
        <v>-56000</v>
      </c>
      <c r="D12" s="18"/>
      <c r="E12" s="19"/>
    </row>
    <row r="13" spans="1:5" x14ac:dyDescent="0.2">
      <c r="A13" s="19"/>
      <c r="B13" s="19"/>
      <c r="C13" s="19"/>
      <c r="D13" s="19"/>
      <c r="E13" s="19"/>
    </row>
    <row r="14" spans="1:5" x14ac:dyDescent="0.2">
      <c r="A14" s="129" t="s">
        <v>128</v>
      </c>
      <c r="B14" s="69">
        <f>B4+B11+B12</f>
        <v>4639.8046398046354</v>
      </c>
      <c r="C14" s="69">
        <f>C4+C11+C12</f>
        <v>0</v>
      </c>
      <c r="D14" s="69">
        <f>D4+D11+D12</f>
        <v>0</v>
      </c>
      <c r="E14" s="19"/>
    </row>
    <row r="15" spans="1:5" x14ac:dyDescent="0.2">
      <c r="A15" s="19"/>
      <c r="B15" s="19"/>
      <c r="C15" s="19"/>
      <c r="D15" s="19"/>
      <c r="E15" s="19"/>
    </row>
  </sheetData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F20"/>
  <sheetViews>
    <sheetView showGridLines="0" workbookViewId="0">
      <selection activeCell="B6" sqref="B6"/>
    </sheetView>
  </sheetViews>
  <sheetFormatPr baseColWidth="10" defaultRowHeight="12.75" x14ac:dyDescent="0.2"/>
  <cols>
    <col min="1" max="1" width="14.42578125" customWidth="1"/>
    <col min="2" max="2" width="12" customWidth="1"/>
    <col min="3" max="3" width="3.85546875" customWidth="1"/>
    <col min="4" max="4" width="27.85546875" customWidth="1"/>
  </cols>
  <sheetData>
    <row r="1" spans="1:6" x14ac:dyDescent="0.2">
      <c r="A1" s="19" t="s">
        <v>129</v>
      </c>
      <c r="B1" s="19" t="s">
        <v>209</v>
      </c>
      <c r="C1" s="19"/>
      <c r="D1" s="19"/>
      <c r="E1" s="19"/>
      <c r="F1" s="19"/>
    </row>
    <row r="2" spans="1:6" x14ac:dyDescent="0.2">
      <c r="A2" s="19" t="s">
        <v>130</v>
      </c>
      <c r="B2" s="19" t="s">
        <v>210</v>
      </c>
      <c r="C2" s="19"/>
      <c r="D2" s="19"/>
      <c r="E2" s="19"/>
      <c r="F2" s="19"/>
    </row>
    <row r="3" spans="1:6" x14ac:dyDescent="0.2">
      <c r="A3" s="19" t="s">
        <v>131</v>
      </c>
      <c r="B3" s="19" t="s">
        <v>209</v>
      </c>
      <c r="C3" s="19"/>
      <c r="D3" s="19"/>
      <c r="E3" s="19"/>
      <c r="F3" s="19"/>
    </row>
    <row r="4" spans="1:6" x14ac:dyDescent="0.2">
      <c r="A4" s="19"/>
      <c r="B4" s="19"/>
      <c r="C4" s="19"/>
      <c r="D4" s="19"/>
      <c r="E4" s="19"/>
      <c r="F4" s="19"/>
    </row>
    <row r="5" spans="1:6" x14ac:dyDescent="0.2">
      <c r="A5" s="39" t="s">
        <v>132</v>
      </c>
      <c r="B5" s="19"/>
      <c r="C5" s="19"/>
      <c r="D5" s="44" t="s">
        <v>133</v>
      </c>
      <c r="E5" s="19"/>
      <c r="F5" s="19"/>
    </row>
    <row r="6" spans="1:6" x14ac:dyDescent="0.2">
      <c r="A6" s="19" t="s">
        <v>1</v>
      </c>
      <c r="B6" s="70">
        <v>0.1</v>
      </c>
      <c r="C6" s="19"/>
      <c r="D6" s="44" t="s">
        <v>134</v>
      </c>
      <c r="E6" s="49">
        <f>LN(SUM(B9:B20)/E9)/LN(1+$B$6)</f>
        <v>2.9524168858488973</v>
      </c>
      <c r="F6" s="19" t="s">
        <v>29</v>
      </c>
    </row>
    <row r="7" spans="1:6" x14ac:dyDescent="0.2">
      <c r="A7" s="19"/>
      <c r="B7" s="19"/>
      <c r="C7" s="19"/>
      <c r="D7" s="19"/>
      <c r="E7" s="19"/>
      <c r="F7" s="19"/>
    </row>
    <row r="8" spans="1:6" x14ac:dyDescent="0.2">
      <c r="A8" s="130" t="s">
        <v>124</v>
      </c>
      <c r="B8" s="19"/>
      <c r="C8" s="19"/>
      <c r="D8" s="19" t="s">
        <v>135</v>
      </c>
      <c r="E8" s="19"/>
      <c r="F8" s="19"/>
    </row>
    <row r="9" spans="1:6" x14ac:dyDescent="0.2">
      <c r="A9" s="19" t="s">
        <v>4</v>
      </c>
      <c r="B9" s="48">
        <v>0</v>
      </c>
      <c r="C9" s="19"/>
      <c r="D9" s="19" t="s">
        <v>136</v>
      </c>
      <c r="E9" s="50">
        <f>NPV(B6,B10:B19)+B9</f>
        <v>15094.59736356806</v>
      </c>
      <c r="F9" s="19"/>
    </row>
    <row r="10" spans="1:6" x14ac:dyDescent="0.2">
      <c r="A10" s="19" t="s">
        <v>5</v>
      </c>
      <c r="B10" s="48">
        <v>0</v>
      </c>
      <c r="C10" s="19"/>
      <c r="D10" s="19"/>
      <c r="E10" s="19"/>
      <c r="F10" s="19"/>
    </row>
    <row r="11" spans="1:6" x14ac:dyDescent="0.2">
      <c r="A11" s="19" t="s">
        <v>6</v>
      </c>
      <c r="B11" s="48">
        <v>10000</v>
      </c>
      <c r="C11" s="19"/>
      <c r="D11" s="19" t="s">
        <v>137</v>
      </c>
      <c r="E11" s="131">
        <f>E9/(1/(1+$B$6)^1+1/(1+$B$6)^3)</f>
        <v>9090.9090909090919</v>
      </c>
      <c r="F11" s="19"/>
    </row>
    <row r="12" spans="1:6" x14ac:dyDescent="0.2">
      <c r="A12" s="19" t="s">
        <v>7</v>
      </c>
      <c r="B12" s="48">
        <v>0</v>
      </c>
      <c r="C12" s="19"/>
      <c r="D12" s="19"/>
      <c r="E12" s="19"/>
      <c r="F12" s="19"/>
    </row>
    <row r="13" spans="1:6" x14ac:dyDescent="0.2">
      <c r="A13" s="19" t="s">
        <v>8</v>
      </c>
      <c r="B13" s="48">
        <v>10000</v>
      </c>
      <c r="C13" s="19"/>
      <c r="D13" s="19"/>
      <c r="E13" s="45"/>
      <c r="F13" s="19"/>
    </row>
    <row r="14" spans="1:6" x14ac:dyDescent="0.2">
      <c r="A14" s="19" t="s">
        <v>9</v>
      </c>
      <c r="B14" s="48">
        <v>0</v>
      </c>
      <c r="C14" s="19"/>
      <c r="D14" s="19"/>
      <c r="E14" s="19"/>
      <c r="F14" s="19"/>
    </row>
    <row r="15" spans="1:6" x14ac:dyDescent="0.2">
      <c r="A15" s="19" t="s">
        <v>10</v>
      </c>
      <c r="B15" s="48">
        <v>0</v>
      </c>
      <c r="C15" s="19"/>
      <c r="D15" s="19"/>
      <c r="E15" s="19"/>
      <c r="F15" s="19"/>
    </row>
    <row r="16" spans="1:6" x14ac:dyDescent="0.2">
      <c r="A16" s="19" t="s">
        <v>11</v>
      </c>
      <c r="B16" s="48">
        <v>0</v>
      </c>
      <c r="C16" s="19"/>
      <c r="D16" s="19"/>
      <c r="E16" s="19"/>
      <c r="F16" s="19"/>
    </row>
    <row r="17" spans="1:6" x14ac:dyDescent="0.2">
      <c r="A17" s="19" t="s">
        <v>12</v>
      </c>
      <c r="B17" s="48">
        <v>0</v>
      </c>
      <c r="C17" s="19"/>
      <c r="D17" s="19"/>
      <c r="E17" s="19"/>
      <c r="F17" s="19"/>
    </row>
    <row r="18" spans="1:6" x14ac:dyDescent="0.2">
      <c r="A18" s="19" t="s">
        <v>13</v>
      </c>
      <c r="B18" s="48">
        <v>0</v>
      </c>
      <c r="C18" s="19"/>
      <c r="D18" s="19"/>
      <c r="E18" s="19"/>
      <c r="F18" s="19"/>
    </row>
    <row r="19" spans="1:6" x14ac:dyDescent="0.2">
      <c r="A19" s="19" t="s">
        <v>14</v>
      </c>
      <c r="B19" s="48">
        <v>0</v>
      </c>
      <c r="C19" s="19"/>
      <c r="D19" s="19"/>
      <c r="E19" s="45"/>
      <c r="F19" s="19"/>
    </row>
    <row r="20" spans="1:6" x14ac:dyDescent="0.2">
      <c r="A20" s="19"/>
      <c r="B20" s="19"/>
      <c r="C20" s="19"/>
      <c r="D20" s="19"/>
      <c r="E20" s="45"/>
      <c r="F20" s="19"/>
    </row>
  </sheetData>
  <phoneticPr fontId="3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G21"/>
  <sheetViews>
    <sheetView workbookViewId="0">
      <selection activeCell="B2" sqref="B2"/>
    </sheetView>
  </sheetViews>
  <sheetFormatPr baseColWidth="10" defaultRowHeight="12.75" x14ac:dyDescent="0.2"/>
  <cols>
    <col min="1" max="1" width="22.28515625" style="17" customWidth="1"/>
    <col min="2" max="2" width="11.42578125" style="17"/>
    <col min="3" max="3" width="6.28515625" style="17" customWidth="1"/>
    <col min="4" max="5" width="11.42578125" style="17"/>
    <col min="6" max="6" width="9.5703125" style="17" customWidth="1"/>
    <col min="7" max="16384" width="11.42578125" style="17"/>
  </cols>
  <sheetData>
    <row r="1" spans="1:7" x14ac:dyDescent="0.2">
      <c r="A1" s="71" t="s">
        <v>45</v>
      </c>
      <c r="B1" s="72"/>
      <c r="C1" s="72"/>
      <c r="D1" s="72"/>
      <c r="E1" s="72"/>
      <c r="F1" s="72"/>
      <c r="G1" s="72"/>
    </row>
    <row r="2" spans="1:7" x14ac:dyDescent="0.2">
      <c r="A2" s="72" t="s">
        <v>46</v>
      </c>
      <c r="B2" s="78">
        <v>1200</v>
      </c>
      <c r="C2" s="72"/>
      <c r="D2" s="72"/>
      <c r="E2" s="72"/>
      <c r="F2" s="72"/>
      <c r="G2" s="72"/>
    </row>
    <row r="3" spans="1:7" x14ac:dyDescent="0.2">
      <c r="A3" s="72" t="s">
        <v>47</v>
      </c>
      <c r="B3" s="79">
        <v>0.02</v>
      </c>
      <c r="C3" s="72"/>
      <c r="D3" s="72"/>
      <c r="E3" s="72"/>
      <c r="F3" s="72"/>
      <c r="G3" s="72"/>
    </row>
    <row r="4" spans="1:7" x14ac:dyDescent="0.2">
      <c r="A4" s="72" t="s">
        <v>48</v>
      </c>
      <c r="B4" s="80">
        <v>60</v>
      </c>
      <c r="C4" s="72"/>
      <c r="D4" s="72"/>
      <c r="E4" s="72"/>
      <c r="F4" s="72"/>
      <c r="G4" s="72"/>
    </row>
    <row r="5" spans="1:7" x14ac:dyDescent="0.2">
      <c r="A5" s="72" t="s">
        <v>49</v>
      </c>
      <c r="B5" s="82">
        <v>0.14000000000000001</v>
      </c>
      <c r="C5" s="75" t="s">
        <v>138</v>
      </c>
      <c r="D5" s="72"/>
      <c r="E5" s="72"/>
      <c r="F5" s="72"/>
      <c r="G5" s="72"/>
    </row>
    <row r="6" spans="1:7" x14ac:dyDescent="0.2">
      <c r="A6" s="75" t="s">
        <v>50</v>
      </c>
      <c r="B6" s="81">
        <v>75</v>
      </c>
      <c r="C6" s="75" t="str">
        <f>IF(B6&lt;B4,"Fehler! Wert darf nicht kleiner als Zahlungsfrist in Tagen sein.","Kontoabrechnung = Bezugszeitpunkt")</f>
        <v>Kontoabrechnung = Bezugszeitpunkt</v>
      </c>
      <c r="D6" s="72"/>
      <c r="E6" s="72"/>
      <c r="F6" s="72"/>
      <c r="G6" s="72"/>
    </row>
    <row r="7" spans="1:7" x14ac:dyDescent="0.2">
      <c r="A7" s="75" t="s">
        <v>139</v>
      </c>
      <c r="B7" s="82">
        <v>0.01</v>
      </c>
      <c r="C7" s="72"/>
      <c r="D7" s="72"/>
      <c r="E7" s="72"/>
      <c r="F7" s="72"/>
      <c r="G7" s="72"/>
    </row>
    <row r="8" spans="1:7" x14ac:dyDescent="0.2">
      <c r="A8" s="72"/>
      <c r="B8" s="74"/>
      <c r="C8" s="72"/>
      <c r="D8" s="72"/>
      <c r="E8" s="72"/>
      <c r="F8" s="72"/>
      <c r="G8" s="72"/>
    </row>
    <row r="9" spans="1:7" ht="13.5" customHeight="1" x14ac:dyDescent="0.2">
      <c r="A9" s="71" t="s">
        <v>140</v>
      </c>
      <c r="B9" s="72"/>
      <c r="C9" s="72"/>
      <c r="D9" s="71" t="s">
        <v>141</v>
      </c>
      <c r="E9" s="72"/>
      <c r="F9" s="72"/>
      <c r="G9" s="72"/>
    </row>
    <row r="10" spans="1:7" x14ac:dyDescent="0.2">
      <c r="A10" s="72"/>
      <c r="B10" s="72"/>
      <c r="C10" s="72"/>
      <c r="D10" s="75" t="s">
        <v>142</v>
      </c>
      <c r="E10" s="72"/>
      <c r="F10" s="72"/>
      <c r="G10" s="73">
        <f>B2</f>
        <v>1200</v>
      </c>
    </row>
    <row r="11" spans="1:7" x14ac:dyDescent="0.2">
      <c r="A11" s="72" t="s">
        <v>52</v>
      </c>
      <c r="B11" s="73">
        <f>B2*B3</f>
        <v>24</v>
      </c>
      <c r="C11" s="72"/>
      <c r="D11" s="73">
        <f>B11</f>
        <v>24</v>
      </c>
      <c r="E11" s="72"/>
      <c r="F11" s="72"/>
      <c r="G11" s="72"/>
    </row>
    <row r="12" spans="1:7" x14ac:dyDescent="0.2">
      <c r="A12" s="75" t="s">
        <v>143</v>
      </c>
      <c r="B12" s="73">
        <f>(B2-B11)*B5*B6/360</f>
        <v>34.300000000000004</v>
      </c>
      <c r="C12" s="72"/>
      <c r="D12" s="72"/>
      <c r="E12" s="72"/>
      <c r="F12" s="72"/>
      <c r="G12" s="72"/>
    </row>
    <row r="13" spans="1:7" x14ac:dyDescent="0.2">
      <c r="A13" s="75" t="s">
        <v>54</v>
      </c>
      <c r="B13" s="73"/>
      <c r="C13" s="72"/>
      <c r="D13" s="72"/>
      <c r="E13" s="72"/>
      <c r="F13" s="72"/>
      <c r="G13" s="72"/>
    </row>
    <row r="14" spans="1:7" x14ac:dyDescent="0.2">
      <c r="A14" s="75" t="s">
        <v>55</v>
      </c>
      <c r="B14" s="73">
        <f>-($B$2-$B$11)*(1+$B$6/360*$B$5)</f>
        <v>-1210.3</v>
      </c>
      <c r="C14" s="72"/>
      <c r="D14" s="83">
        <f>D11*B6/360*B7+D11</f>
        <v>24.05</v>
      </c>
      <c r="E14" s="72"/>
      <c r="F14" s="72"/>
      <c r="G14" s="72"/>
    </row>
    <row r="15" spans="1:7" x14ac:dyDescent="0.2">
      <c r="A15" s="75" t="s">
        <v>56</v>
      </c>
      <c r="B15" s="73">
        <f>-$B$2*(1+($B$6-B4)/360*$B$5)</f>
        <v>-1207</v>
      </c>
      <c r="C15" s="72"/>
      <c r="D15" s="83">
        <f>G10*(B6-B4)/360*B7</f>
        <v>0.5</v>
      </c>
      <c r="E15" s="72"/>
      <c r="F15" s="72"/>
      <c r="G15" s="72"/>
    </row>
    <row r="16" spans="1:7" x14ac:dyDescent="0.2">
      <c r="A16" s="72"/>
      <c r="B16" s="72"/>
      <c r="C16" s="72"/>
      <c r="D16" s="72"/>
      <c r="E16" s="72"/>
      <c r="F16" s="72"/>
      <c r="G16" s="72"/>
    </row>
    <row r="17" spans="1:7" x14ac:dyDescent="0.2">
      <c r="A17" s="72" t="str">
        <f>IF(B14&gt;=B15,"Die Rechnung sollte bei Überziehung sofort beglichen werden. Der Rechnungsbetrag abzgl. Skonto beträgt:","Die Zahlung sollte bei Überziehung am Ende der Zahlungsfrist geleistet werden.")</f>
        <v>Die Zahlung sollte bei Überziehung am Ende der Zahlungsfrist geleistet werden.</v>
      </c>
      <c r="B17" s="72"/>
      <c r="C17" s="72"/>
      <c r="D17" s="72"/>
      <c r="E17" s="72"/>
      <c r="F17" s="72"/>
      <c r="G17" s="72"/>
    </row>
    <row r="18" spans="1:7" x14ac:dyDescent="0.2">
      <c r="A18" s="19"/>
      <c r="B18" s="76" t="str">
        <f>IF(B14&gt;=B15,B2*(1-B3),"")</f>
        <v/>
      </c>
      <c r="C18" s="72"/>
      <c r="D18" s="72"/>
      <c r="E18" s="72"/>
      <c r="F18" s="72"/>
      <c r="G18" s="72"/>
    </row>
    <row r="19" spans="1:7" x14ac:dyDescent="0.2">
      <c r="A19" s="72" t="s">
        <v>57</v>
      </c>
      <c r="B19" s="77">
        <f>360*B3/(B4-B3*B6)</f>
        <v>0.12307692307692308</v>
      </c>
      <c r="C19" s="72" t="s">
        <v>58</v>
      </c>
      <c r="D19" s="72"/>
      <c r="E19" s="72"/>
      <c r="F19" s="72"/>
      <c r="G19" s="72"/>
    </row>
    <row r="20" spans="1:7" x14ac:dyDescent="0.2">
      <c r="A20" s="72" t="str">
        <f>IF(D14&gt;=D15,"Bei Guthaben sollte sofort mit Skonto gezahlt werden.","Bei Guthaben sollte so spät wie möglich gezahlt werden.")</f>
        <v>Bei Guthaben sollte sofort mit Skonto gezahlt werden.</v>
      </c>
      <c r="B20" s="72"/>
      <c r="C20" s="72"/>
      <c r="D20" s="72"/>
      <c r="E20" s="72"/>
      <c r="F20" s="72"/>
      <c r="G20" s="72"/>
    </row>
    <row r="21" spans="1:7" x14ac:dyDescent="0.2">
      <c r="A21" s="72"/>
      <c r="B21" s="72"/>
      <c r="C21" s="72"/>
      <c r="D21" s="72"/>
      <c r="E21" s="72"/>
      <c r="F21" s="72"/>
      <c r="G21" s="72"/>
    </row>
  </sheetData>
  <phoneticPr fontId="3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E5"/>
  <sheetViews>
    <sheetView workbookViewId="0">
      <selection activeCell="A2" sqref="A2"/>
    </sheetView>
  </sheetViews>
  <sheetFormatPr baseColWidth="10" defaultRowHeight="12.75" x14ac:dyDescent="0.2"/>
  <sheetData>
    <row r="1" spans="1:5" x14ac:dyDescent="0.2">
      <c r="A1" s="39" t="s">
        <v>189</v>
      </c>
      <c r="B1" s="19"/>
      <c r="C1" s="19"/>
      <c r="D1" s="19"/>
      <c r="E1" s="19"/>
    </row>
    <row r="2" spans="1:5" x14ac:dyDescent="0.2">
      <c r="A2" s="19"/>
      <c r="B2" s="19"/>
      <c r="C2" s="19"/>
      <c r="D2" s="19"/>
      <c r="E2" s="19"/>
    </row>
    <row r="3" spans="1:5" x14ac:dyDescent="0.2">
      <c r="A3" s="19" t="s">
        <v>247</v>
      </c>
      <c r="B3" s="19"/>
      <c r="C3" s="19"/>
      <c r="D3" s="19"/>
      <c r="E3" s="19"/>
    </row>
    <row r="4" spans="1:5" x14ac:dyDescent="0.2">
      <c r="A4" s="19" t="s">
        <v>246</v>
      </c>
      <c r="B4" s="19"/>
      <c r="C4" s="19"/>
      <c r="D4" s="19"/>
      <c r="E4" s="19"/>
    </row>
    <row r="5" spans="1:5" x14ac:dyDescent="0.2">
      <c r="A5" s="19"/>
      <c r="B5" s="19"/>
      <c r="C5" s="19"/>
      <c r="D5" s="19"/>
      <c r="E5" s="19"/>
    </row>
  </sheetData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22"/>
  <sheetViews>
    <sheetView showGridLines="0" workbookViewId="0">
      <selection activeCell="B2" sqref="B2"/>
    </sheetView>
  </sheetViews>
  <sheetFormatPr baseColWidth="10" defaultRowHeight="12.75" x14ac:dyDescent="0.2"/>
  <cols>
    <col min="1" max="1" width="15.140625" customWidth="1"/>
    <col min="2" max="2" width="13.85546875" customWidth="1"/>
    <col min="3" max="3" width="15" customWidth="1"/>
    <col min="4" max="4" width="1.42578125" customWidth="1"/>
    <col min="5" max="6" width="14.7109375" customWidth="1"/>
    <col min="7" max="7" width="14.140625" customWidth="1"/>
    <col min="8" max="8" width="17.7109375" customWidth="1"/>
  </cols>
  <sheetData>
    <row r="1" spans="1:8" x14ac:dyDescent="0.2">
      <c r="A1" s="39" t="s">
        <v>20</v>
      </c>
      <c r="B1" s="19"/>
      <c r="C1" s="19"/>
      <c r="D1" s="19"/>
      <c r="E1" s="19"/>
    </row>
    <row r="2" spans="1:8" x14ac:dyDescent="0.2">
      <c r="A2" s="18" t="s">
        <v>1</v>
      </c>
      <c r="B2" s="34">
        <v>0.1</v>
      </c>
      <c r="C2" s="19" t="s">
        <v>199</v>
      </c>
      <c r="D2" s="29"/>
      <c r="E2" s="19"/>
    </row>
    <row r="3" spans="1:8" x14ac:dyDescent="0.2">
      <c r="A3" s="19"/>
      <c r="B3" s="19"/>
      <c r="C3" s="19"/>
      <c r="D3" s="29"/>
      <c r="E3" s="19"/>
      <c r="H3" s="194" t="s">
        <v>116</v>
      </c>
    </row>
    <row r="4" spans="1:8" ht="24.75" customHeight="1" x14ac:dyDescent="0.2">
      <c r="A4" s="20" t="s">
        <v>21</v>
      </c>
      <c r="B4" s="20" t="s">
        <v>22</v>
      </c>
      <c r="C4" s="20" t="s">
        <v>23</v>
      </c>
      <c r="D4" s="36"/>
      <c r="E4" s="19"/>
      <c r="H4" s="195" t="s">
        <v>200</v>
      </c>
    </row>
    <row r="5" spans="1:8" x14ac:dyDescent="0.2">
      <c r="A5" s="18">
        <v>0</v>
      </c>
      <c r="B5" s="65">
        <v>1000</v>
      </c>
      <c r="C5" s="65">
        <v>0</v>
      </c>
      <c r="D5" s="36"/>
      <c r="E5" s="19"/>
      <c r="H5" s="196">
        <f>IF(A5&lt;$B$19,1+($B$19-A5)*$B$2/12,1/(1+(A5-$B$19)*$B$2/12))</f>
        <v>1.1000000000000001</v>
      </c>
    </row>
    <row r="6" spans="1:8" x14ac:dyDescent="0.2">
      <c r="A6" s="18">
        <v>1</v>
      </c>
      <c r="B6" s="65">
        <v>0</v>
      </c>
      <c r="C6" s="65">
        <v>0</v>
      </c>
      <c r="D6" s="36"/>
      <c r="E6" s="19"/>
      <c r="H6" s="196">
        <f t="shared" ref="H6:H17" si="0">IF(A6&lt;$B$19,1+($B$19-A6)*$B$2/12,1/(1+(A6-$B$19)*$B$2/12))</f>
        <v>1.0916666666666668</v>
      </c>
    </row>
    <row r="7" spans="1:8" x14ac:dyDescent="0.2">
      <c r="A7" s="18">
        <v>2</v>
      </c>
      <c r="B7" s="65">
        <v>0</v>
      </c>
      <c r="C7" s="65">
        <v>0</v>
      </c>
      <c r="D7" s="36"/>
      <c r="E7" s="19"/>
      <c r="H7" s="196">
        <f t="shared" si="0"/>
        <v>1.0833333333333333</v>
      </c>
    </row>
    <row r="8" spans="1:8" x14ac:dyDescent="0.2">
      <c r="A8" s="18">
        <v>3</v>
      </c>
      <c r="B8" s="65">
        <v>0</v>
      </c>
      <c r="C8" s="65">
        <v>520</v>
      </c>
      <c r="D8" s="36"/>
      <c r="E8" s="19"/>
      <c r="H8" s="196">
        <f t="shared" si="0"/>
        <v>1.075</v>
      </c>
    </row>
    <row r="9" spans="1:8" x14ac:dyDescent="0.2">
      <c r="A9" s="18">
        <v>4</v>
      </c>
      <c r="B9" s="65">
        <v>0</v>
      </c>
      <c r="C9" s="65">
        <v>0</v>
      </c>
      <c r="D9" s="36"/>
      <c r="E9" s="19"/>
      <c r="H9" s="196">
        <f t="shared" si="0"/>
        <v>1.0666666666666667</v>
      </c>
    </row>
    <row r="10" spans="1:8" x14ac:dyDescent="0.2">
      <c r="A10" s="18">
        <v>5</v>
      </c>
      <c r="B10" s="65">
        <v>0</v>
      </c>
      <c r="C10" s="65">
        <v>0</v>
      </c>
      <c r="D10" s="36"/>
      <c r="E10" s="19"/>
      <c r="H10" s="196">
        <f t="shared" si="0"/>
        <v>1.0583333333333333</v>
      </c>
    </row>
    <row r="11" spans="1:8" x14ac:dyDescent="0.2">
      <c r="A11" s="18">
        <v>6</v>
      </c>
      <c r="B11" s="65">
        <v>0</v>
      </c>
      <c r="C11" s="65">
        <v>0</v>
      </c>
      <c r="D11" s="36"/>
      <c r="E11" s="19"/>
      <c r="H11" s="196">
        <f t="shared" si="0"/>
        <v>1.05</v>
      </c>
    </row>
    <row r="12" spans="1:8" x14ac:dyDescent="0.2">
      <c r="A12" s="18">
        <v>7</v>
      </c>
      <c r="B12" s="65">
        <v>0</v>
      </c>
      <c r="C12" s="65">
        <v>0</v>
      </c>
      <c r="D12" s="36"/>
      <c r="E12" s="19"/>
      <c r="H12" s="196">
        <f t="shared" si="0"/>
        <v>1.0416666666666667</v>
      </c>
    </row>
    <row r="13" spans="1:8" x14ac:dyDescent="0.2">
      <c r="A13" s="18">
        <v>8</v>
      </c>
      <c r="B13" s="65">
        <v>0</v>
      </c>
      <c r="C13" s="65">
        <v>0</v>
      </c>
      <c r="D13" s="36"/>
      <c r="E13" s="19"/>
      <c r="H13" s="196">
        <f t="shared" si="0"/>
        <v>1.0333333333333334</v>
      </c>
    </row>
    <row r="14" spans="1:8" x14ac:dyDescent="0.2">
      <c r="A14" s="18">
        <v>9</v>
      </c>
      <c r="B14" s="65">
        <v>0</v>
      </c>
      <c r="C14" s="65">
        <v>529</v>
      </c>
      <c r="D14" s="36"/>
      <c r="E14" s="19"/>
      <c r="H14" s="196">
        <f t="shared" si="0"/>
        <v>1.0249999999999999</v>
      </c>
    </row>
    <row r="15" spans="1:8" x14ac:dyDescent="0.2">
      <c r="A15" s="18">
        <v>10</v>
      </c>
      <c r="B15" s="65">
        <v>0</v>
      </c>
      <c r="C15" s="65">
        <v>0</v>
      </c>
      <c r="D15" s="36"/>
      <c r="E15" s="19"/>
      <c r="H15" s="196">
        <f t="shared" si="0"/>
        <v>1.0166666666666666</v>
      </c>
    </row>
    <row r="16" spans="1:8" x14ac:dyDescent="0.2">
      <c r="A16" s="18">
        <v>11</v>
      </c>
      <c r="B16" s="65">
        <v>0</v>
      </c>
      <c r="C16" s="65">
        <v>0</v>
      </c>
      <c r="D16" s="36"/>
      <c r="E16" s="19"/>
      <c r="H16" s="196">
        <f t="shared" si="0"/>
        <v>1.0083333333333333</v>
      </c>
    </row>
    <row r="17" spans="1:8" x14ac:dyDescent="0.2">
      <c r="A17" s="18">
        <v>12</v>
      </c>
      <c r="B17" s="65">
        <v>0</v>
      </c>
      <c r="C17" s="65">
        <v>0</v>
      </c>
      <c r="D17" s="36"/>
      <c r="E17" s="19"/>
      <c r="H17" s="196">
        <f t="shared" si="0"/>
        <v>1</v>
      </c>
    </row>
    <row r="18" spans="1:8" x14ac:dyDescent="0.2">
      <c r="A18" s="21"/>
      <c r="B18" s="22"/>
      <c r="C18" s="23"/>
      <c r="D18" s="36"/>
      <c r="E18" s="19"/>
    </row>
    <row r="19" spans="1:8" x14ac:dyDescent="0.2">
      <c r="A19" s="24" t="s">
        <v>24</v>
      </c>
      <c r="B19" s="205">
        <v>12</v>
      </c>
      <c r="C19" s="26" t="s">
        <v>25</v>
      </c>
      <c r="D19" s="29"/>
      <c r="E19" s="19"/>
    </row>
    <row r="20" spans="1:8" x14ac:dyDescent="0.2">
      <c r="A20" s="29"/>
      <c r="B20" s="206">
        <f>SUMPRODUCT(B5:B17,$H$5:$H$17)</f>
        <v>1100</v>
      </c>
      <c r="C20" s="206">
        <f>SUMPRODUCT(C5:C17,$H$5:$H$17)</f>
        <v>1101.2249999999999</v>
      </c>
      <c r="D20" s="27"/>
      <c r="E20" s="19"/>
    </row>
    <row r="21" spans="1:8" x14ac:dyDescent="0.2">
      <c r="A21" s="28" t="str">
        <f>IF(B20=C20,"Beide Zahlungsströme 1 und 2 sind äquivalent","Die Zahlungsströme 1 und 2 sind nicht äquivalent")</f>
        <v>Die Zahlungsströme 1 und 2 sind nicht äquivalent</v>
      </c>
      <c r="B21" s="29"/>
      <c r="C21" s="26"/>
      <c r="D21" s="29"/>
      <c r="E21" s="19"/>
    </row>
    <row r="22" spans="1:8" x14ac:dyDescent="0.2">
      <c r="A22" s="30" t="s">
        <v>208</v>
      </c>
      <c r="B22" s="31">
        <f>B19</f>
        <v>12</v>
      </c>
      <c r="C22" s="32" t="s">
        <v>207</v>
      </c>
      <c r="D22" s="29"/>
      <c r="E22" s="19"/>
    </row>
  </sheetData>
  <phoneticPr fontId="3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E31"/>
  <sheetViews>
    <sheetView showGridLines="0" workbookViewId="0">
      <selection activeCell="A4" sqref="A4"/>
    </sheetView>
  </sheetViews>
  <sheetFormatPr baseColWidth="10" defaultRowHeight="12.75" x14ac:dyDescent="0.2"/>
  <cols>
    <col min="1" max="1" width="19.42578125" style="11" customWidth="1"/>
    <col min="2" max="16384" width="11.42578125" style="11"/>
  </cols>
  <sheetData>
    <row r="1" spans="1:5" x14ac:dyDescent="0.2">
      <c r="A1" s="84" t="s">
        <v>144</v>
      </c>
      <c r="B1" s="85"/>
      <c r="C1" s="85"/>
      <c r="D1" s="85"/>
      <c r="E1" s="85"/>
    </row>
    <row r="2" spans="1:5" x14ac:dyDescent="0.2">
      <c r="A2" s="85"/>
      <c r="B2" s="85"/>
      <c r="C2" s="85"/>
      <c r="D2" s="85"/>
      <c r="E2" s="85"/>
    </row>
    <row r="3" spans="1:5" ht="24.75" customHeight="1" x14ac:dyDescent="0.2">
      <c r="A3" s="87" t="s">
        <v>92</v>
      </c>
      <c r="B3" s="88" t="s">
        <v>93</v>
      </c>
      <c r="C3" s="85"/>
      <c r="D3" s="85"/>
      <c r="E3" s="85"/>
    </row>
    <row r="4" spans="1:5" x14ac:dyDescent="0.2">
      <c r="A4" s="107">
        <v>0</v>
      </c>
      <c r="B4" s="107">
        <v>-1000</v>
      </c>
      <c r="C4" s="85"/>
      <c r="D4" s="85"/>
      <c r="E4" s="85"/>
    </row>
    <row r="5" spans="1:5" x14ac:dyDescent="0.2">
      <c r="A5" s="107">
        <v>1</v>
      </c>
      <c r="B5" s="107">
        <v>500</v>
      </c>
      <c r="C5" s="85"/>
      <c r="D5" s="85"/>
      <c r="E5" s="85"/>
    </row>
    <row r="6" spans="1:5" x14ac:dyDescent="0.2">
      <c r="A6" s="107">
        <v>2</v>
      </c>
      <c r="B6" s="107">
        <v>550</v>
      </c>
      <c r="C6" s="85"/>
      <c r="D6" s="85"/>
      <c r="E6" s="85"/>
    </row>
    <row r="7" spans="1:5" x14ac:dyDescent="0.2">
      <c r="A7" s="107"/>
      <c r="B7" s="107"/>
      <c r="C7" s="85"/>
      <c r="D7" s="85"/>
      <c r="E7" s="85"/>
    </row>
    <row r="8" spans="1:5" x14ac:dyDescent="0.2">
      <c r="A8" s="107"/>
      <c r="B8" s="107"/>
      <c r="C8" s="85"/>
      <c r="D8" s="85"/>
      <c r="E8" s="85"/>
    </row>
    <row r="9" spans="1:5" x14ac:dyDescent="0.2">
      <c r="A9" s="107"/>
      <c r="B9" s="107"/>
      <c r="C9" s="85"/>
      <c r="D9" s="85"/>
      <c r="E9" s="85"/>
    </row>
    <row r="10" spans="1:5" x14ac:dyDescent="0.2">
      <c r="A10" s="107"/>
      <c r="B10" s="107"/>
      <c r="C10" s="85"/>
      <c r="D10" s="85"/>
      <c r="E10" s="85"/>
    </row>
    <row r="11" spans="1:5" x14ac:dyDescent="0.2">
      <c r="A11" s="107"/>
      <c r="B11" s="107"/>
      <c r="C11" s="85"/>
      <c r="D11" s="85"/>
      <c r="E11" s="85"/>
    </row>
    <row r="12" spans="1:5" x14ac:dyDescent="0.2">
      <c r="A12" s="107"/>
      <c r="B12" s="107"/>
      <c r="C12" s="85"/>
      <c r="D12" s="85"/>
      <c r="E12" s="85"/>
    </row>
    <row r="13" spans="1:5" x14ac:dyDescent="0.2">
      <c r="A13" s="107"/>
      <c r="B13" s="107"/>
      <c r="C13" s="85"/>
      <c r="D13" s="85"/>
      <c r="E13" s="85"/>
    </row>
    <row r="14" spans="1:5" x14ac:dyDescent="0.2">
      <c r="A14" s="91"/>
      <c r="B14" s="89"/>
      <c r="C14" s="85"/>
      <c r="D14" s="85"/>
      <c r="E14" s="85"/>
    </row>
    <row r="15" spans="1:5" x14ac:dyDescent="0.2">
      <c r="A15" s="93" t="s">
        <v>94</v>
      </c>
      <c r="B15" s="89"/>
      <c r="C15" s="85"/>
      <c r="D15" s="85"/>
      <c r="E15" s="85"/>
    </row>
    <row r="16" spans="1:5" x14ac:dyDescent="0.2">
      <c r="A16" s="93" t="s">
        <v>44</v>
      </c>
      <c r="B16" s="90">
        <f>B31</f>
        <v>3.2623792124926415E-2</v>
      </c>
      <c r="C16" s="85"/>
      <c r="D16" s="85"/>
      <c r="E16" s="85"/>
    </row>
    <row r="17" spans="1:5" x14ac:dyDescent="0.2">
      <c r="A17" s="85"/>
      <c r="B17" s="85"/>
      <c r="C17" s="85"/>
      <c r="D17" s="85"/>
      <c r="E17" s="85"/>
    </row>
    <row r="20" spans="1:5" x14ac:dyDescent="0.2">
      <c r="A20" s="16" t="s">
        <v>116</v>
      </c>
    </row>
    <row r="21" spans="1:5" x14ac:dyDescent="0.2">
      <c r="A21" s="11" t="s">
        <v>76</v>
      </c>
      <c r="B21" s="11" t="s">
        <v>37</v>
      </c>
      <c r="C21" s="16" t="s">
        <v>145</v>
      </c>
    </row>
    <row r="22" spans="1:5" x14ac:dyDescent="0.2">
      <c r="A22" s="12">
        <v>1</v>
      </c>
      <c r="B22" s="14">
        <v>0.01</v>
      </c>
      <c r="C22" s="15">
        <f t="shared" ref="C22:C31" si="0">$B$4/(1+B22)^$A$4+$B$5/(1+B22)^$A$5+$B$6/(1+B22)^$A$6+$B$7/(1+B22)^$A$7+$B$8/(1+B22)^$A$8+$B$9/(1+B22)^$A$9+$B$10/(1+B22)^$A$10+$B$11/(1+B22)^$A$11+$B$12/(1+B22)^$A$12+$B$13/(1+B22)^$A$13</f>
        <v>34.212332124301497</v>
      </c>
    </row>
    <row r="23" spans="1:5" x14ac:dyDescent="0.2">
      <c r="A23" s="12">
        <v>2</v>
      </c>
      <c r="B23" s="14">
        <v>0.04</v>
      </c>
      <c r="C23" s="15">
        <f t="shared" si="0"/>
        <v>-10.724852071006012</v>
      </c>
    </row>
    <row r="24" spans="1:5" x14ac:dyDescent="0.2">
      <c r="A24" s="12">
        <v>3</v>
      </c>
      <c r="B24" s="14">
        <f>IF(ABS(C22-C23)&lt;0.0000001,B23,B23+(B22-B23)*(C23)/(C23-C22))</f>
        <v>3.284010407212435E-2</v>
      </c>
      <c r="C24" s="15">
        <f t="shared" si="0"/>
        <v>-0.31743687660514297</v>
      </c>
    </row>
    <row r="25" spans="1:5" x14ac:dyDescent="0.2">
      <c r="A25" s="12">
        <v>4</v>
      </c>
      <c r="B25" s="14">
        <f t="shared" ref="B25:B31" si="1">IF(ABS(C23-C24)&lt;0.0000001,B24,B24+(B23-B24)*(C24)/(C24-C23))</f>
        <v>3.262171987607676E-2</v>
      </c>
      <c r="C25" s="15">
        <f t="shared" si="0"/>
        <v>3.0418784990615677E-3</v>
      </c>
    </row>
    <row r="26" spans="1:5" x14ac:dyDescent="0.2">
      <c r="A26" s="12">
        <v>5</v>
      </c>
      <c r="B26" s="14">
        <f t="shared" si="1"/>
        <v>3.2623792706739985E-2</v>
      </c>
      <c r="C26" s="15">
        <f t="shared" si="0"/>
        <v>-8.5404860783455661E-7</v>
      </c>
    </row>
    <row r="27" spans="1:5" x14ac:dyDescent="0.2">
      <c r="A27" s="12">
        <v>6</v>
      </c>
      <c r="B27" s="14">
        <f t="shared" si="1"/>
        <v>3.2623792124928039E-2</v>
      </c>
      <c r="C27" s="15">
        <f t="shared" si="0"/>
        <v>-2.3874235921539366E-12</v>
      </c>
    </row>
    <row r="28" spans="1:5" x14ac:dyDescent="0.2">
      <c r="A28" s="12">
        <v>7</v>
      </c>
      <c r="B28" s="14">
        <f t="shared" si="1"/>
        <v>3.2623792124926415E-2</v>
      </c>
      <c r="C28" s="15">
        <f t="shared" si="0"/>
        <v>0</v>
      </c>
    </row>
    <row r="29" spans="1:5" x14ac:dyDescent="0.2">
      <c r="A29" s="12">
        <v>8</v>
      </c>
      <c r="B29" s="14">
        <f t="shared" si="1"/>
        <v>3.2623792124926415E-2</v>
      </c>
      <c r="C29" s="15">
        <f t="shared" si="0"/>
        <v>0</v>
      </c>
    </row>
    <row r="30" spans="1:5" x14ac:dyDescent="0.2">
      <c r="A30" s="12">
        <v>9</v>
      </c>
      <c r="B30" s="14">
        <f t="shared" si="1"/>
        <v>3.2623792124926415E-2</v>
      </c>
      <c r="C30" s="15">
        <f t="shared" si="0"/>
        <v>0</v>
      </c>
    </row>
    <row r="31" spans="1:5" x14ac:dyDescent="0.2">
      <c r="A31" s="12">
        <v>10</v>
      </c>
      <c r="B31" s="14">
        <f t="shared" si="1"/>
        <v>3.2623792124926415E-2</v>
      </c>
      <c r="C31" s="15">
        <f t="shared" si="0"/>
        <v>0</v>
      </c>
    </row>
  </sheetData>
  <phoneticPr fontId="3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K35"/>
  <sheetViews>
    <sheetView showGridLines="0" workbookViewId="0">
      <selection activeCell="F4" sqref="F4"/>
    </sheetView>
  </sheetViews>
  <sheetFormatPr baseColWidth="10" defaultRowHeight="12.75" x14ac:dyDescent="0.2"/>
  <cols>
    <col min="1" max="1" width="12.140625" style="11" customWidth="1"/>
    <col min="2" max="2" width="11.42578125" style="11"/>
    <col min="3" max="3" width="5.85546875" style="11" customWidth="1"/>
    <col min="4" max="4" width="11.42578125" style="11"/>
    <col min="5" max="5" width="8.140625" style="11" customWidth="1"/>
    <col min="6" max="6" width="13.140625" style="11" customWidth="1"/>
    <col min="7" max="7" width="15.28515625" style="11" customWidth="1"/>
    <col min="8" max="16384" width="11.42578125" style="11"/>
  </cols>
  <sheetData>
    <row r="1" spans="1:8" x14ac:dyDescent="0.2">
      <c r="A1" s="84" t="s">
        <v>144</v>
      </c>
      <c r="B1" s="85"/>
      <c r="C1" s="85"/>
      <c r="D1" s="85"/>
      <c r="E1" s="85"/>
      <c r="F1" s="85"/>
      <c r="G1" s="85"/>
      <c r="H1" s="85"/>
    </row>
    <row r="2" spans="1:8" x14ac:dyDescent="0.2">
      <c r="A2" s="85"/>
      <c r="B2" s="85"/>
      <c r="C2" s="85"/>
      <c r="D2" s="85"/>
      <c r="E2" s="85"/>
      <c r="F2" s="85"/>
      <c r="G2" s="85"/>
      <c r="H2" s="85"/>
    </row>
    <row r="3" spans="1:8" ht="24.75" customHeight="1" x14ac:dyDescent="0.2">
      <c r="A3" s="87" t="s">
        <v>92</v>
      </c>
      <c r="B3" s="88" t="s">
        <v>93</v>
      </c>
      <c r="C3" s="138"/>
      <c r="D3" s="142" t="s">
        <v>146</v>
      </c>
      <c r="E3" s="141" t="s">
        <v>147</v>
      </c>
      <c r="F3" s="141" t="s">
        <v>148</v>
      </c>
      <c r="G3" s="143" t="s">
        <v>149</v>
      </c>
      <c r="H3" s="85"/>
    </row>
    <row r="4" spans="1:8" x14ac:dyDescent="0.2">
      <c r="A4" s="107">
        <v>0</v>
      </c>
      <c r="B4" s="106">
        <v>-20000</v>
      </c>
      <c r="C4" s="138"/>
      <c r="D4" s="135">
        <v>36770</v>
      </c>
      <c r="E4" s="139">
        <f t="shared" ref="E4:E13" si="0">IF(D4="",0,YEARFRAC(MIN($D$4:$D$13),D4,4))</f>
        <v>0</v>
      </c>
      <c r="F4" s="106">
        <v>-9850</v>
      </c>
      <c r="G4" s="106"/>
      <c r="H4" s="85" t="str">
        <f t="shared" ref="H4:H13" si="1">IF(AND(G4&gt;F4,F4&gt;0),"Fehler","")</f>
        <v/>
      </c>
    </row>
    <row r="5" spans="1:8" x14ac:dyDescent="0.2">
      <c r="A5" s="107">
        <v>1.5</v>
      </c>
      <c r="B5" s="106">
        <v>-10000</v>
      </c>
      <c r="C5" s="138"/>
      <c r="D5" s="135">
        <v>36951</v>
      </c>
      <c r="E5" s="139">
        <f t="shared" si="0"/>
        <v>0.5</v>
      </c>
      <c r="F5" s="106">
        <v>300</v>
      </c>
      <c r="G5" s="106">
        <f>F5</f>
        <v>300</v>
      </c>
      <c r="H5" s="85" t="str">
        <f t="shared" si="1"/>
        <v/>
      </c>
    </row>
    <row r="6" spans="1:8" x14ac:dyDescent="0.2">
      <c r="A6" s="107">
        <v>3</v>
      </c>
      <c r="B6" s="106">
        <v>33911.800000000003</v>
      </c>
      <c r="C6" s="138"/>
      <c r="D6" s="135">
        <v>37135</v>
      </c>
      <c r="E6" s="139">
        <f t="shared" si="0"/>
        <v>1</v>
      </c>
      <c r="F6" s="106">
        <v>10300</v>
      </c>
      <c r="G6" s="106">
        <f>300+150</f>
        <v>450</v>
      </c>
      <c r="H6" s="85" t="str">
        <f t="shared" si="1"/>
        <v/>
      </c>
    </row>
    <row r="7" spans="1:8" x14ac:dyDescent="0.2">
      <c r="A7" s="107">
        <v>4</v>
      </c>
      <c r="B7" s="106">
        <v>0</v>
      </c>
      <c r="C7" s="138"/>
      <c r="D7" s="135"/>
      <c r="E7" s="139">
        <f t="shared" si="0"/>
        <v>0</v>
      </c>
      <c r="F7" s="106">
        <v>0</v>
      </c>
      <c r="G7" s="106">
        <v>0</v>
      </c>
      <c r="H7" s="85" t="str">
        <f t="shared" si="1"/>
        <v/>
      </c>
    </row>
    <row r="8" spans="1:8" x14ac:dyDescent="0.2">
      <c r="A8" s="107"/>
      <c r="B8" s="106"/>
      <c r="C8" s="138"/>
      <c r="D8" s="135"/>
      <c r="E8" s="139">
        <f t="shared" si="0"/>
        <v>0</v>
      </c>
      <c r="F8" s="106">
        <v>0</v>
      </c>
      <c r="G8" s="106">
        <v>0</v>
      </c>
      <c r="H8" s="85" t="str">
        <f t="shared" si="1"/>
        <v/>
      </c>
    </row>
    <row r="9" spans="1:8" x14ac:dyDescent="0.2">
      <c r="A9" s="107"/>
      <c r="B9" s="106"/>
      <c r="C9" s="138"/>
      <c r="D9" s="135"/>
      <c r="E9" s="139">
        <f t="shared" si="0"/>
        <v>0</v>
      </c>
      <c r="F9" s="106"/>
      <c r="G9" s="106"/>
      <c r="H9" s="85" t="str">
        <f t="shared" si="1"/>
        <v/>
      </c>
    </row>
    <row r="10" spans="1:8" x14ac:dyDescent="0.2">
      <c r="A10" s="107"/>
      <c r="B10" s="106"/>
      <c r="C10" s="138"/>
      <c r="D10" s="135"/>
      <c r="E10" s="139">
        <f t="shared" si="0"/>
        <v>0</v>
      </c>
      <c r="F10" s="106"/>
      <c r="G10" s="106"/>
      <c r="H10" s="85" t="str">
        <f t="shared" si="1"/>
        <v/>
      </c>
    </row>
    <row r="11" spans="1:8" x14ac:dyDescent="0.2">
      <c r="A11" s="107"/>
      <c r="B11" s="106"/>
      <c r="C11" s="138"/>
      <c r="D11" s="135"/>
      <c r="E11" s="139">
        <f t="shared" si="0"/>
        <v>0</v>
      </c>
      <c r="F11" s="106"/>
      <c r="G11" s="106"/>
      <c r="H11" s="85" t="str">
        <f t="shared" si="1"/>
        <v/>
      </c>
    </row>
    <row r="12" spans="1:8" x14ac:dyDescent="0.2">
      <c r="A12" s="107"/>
      <c r="B12" s="106"/>
      <c r="C12" s="138"/>
      <c r="D12" s="135"/>
      <c r="E12" s="139">
        <f t="shared" si="0"/>
        <v>0</v>
      </c>
      <c r="F12" s="106"/>
      <c r="G12" s="106"/>
      <c r="H12" s="85" t="str">
        <f t="shared" si="1"/>
        <v/>
      </c>
    </row>
    <row r="13" spans="1:8" x14ac:dyDescent="0.2">
      <c r="A13" s="107"/>
      <c r="B13" s="106"/>
      <c r="C13" s="138"/>
      <c r="D13" s="135"/>
      <c r="E13" s="139">
        <f t="shared" si="0"/>
        <v>0</v>
      </c>
      <c r="F13" s="106"/>
      <c r="G13" s="106"/>
      <c r="H13" s="85" t="str">
        <f t="shared" si="1"/>
        <v/>
      </c>
    </row>
    <row r="14" spans="1:8" x14ac:dyDescent="0.2">
      <c r="A14" s="91"/>
      <c r="B14" s="92"/>
      <c r="C14" s="138"/>
      <c r="D14" s="91"/>
      <c r="E14" s="144"/>
      <c r="F14" s="92"/>
      <c r="G14" s="85"/>
      <c r="H14" s="85"/>
    </row>
    <row r="15" spans="1:8" x14ac:dyDescent="0.2">
      <c r="A15" s="93"/>
      <c r="B15" s="94"/>
      <c r="C15" s="89"/>
      <c r="D15" s="136"/>
      <c r="E15" s="117" t="s">
        <v>150</v>
      </c>
      <c r="F15" s="140">
        <v>0.3</v>
      </c>
      <c r="G15" s="85"/>
      <c r="H15" s="85"/>
    </row>
    <row r="16" spans="1:8" x14ac:dyDescent="0.2">
      <c r="A16" s="93" t="s">
        <v>94</v>
      </c>
      <c r="B16" s="94"/>
      <c r="C16" s="89"/>
      <c r="D16" s="93"/>
      <c r="E16" s="89"/>
      <c r="F16" s="94"/>
      <c r="G16" s="85"/>
      <c r="H16" s="85"/>
    </row>
    <row r="17" spans="1:11" x14ac:dyDescent="0.2">
      <c r="A17" s="95" t="s">
        <v>44</v>
      </c>
      <c r="B17" s="137">
        <f>B35</f>
        <v>5.0000020801441898E-2</v>
      </c>
      <c r="C17" s="90"/>
      <c r="D17" s="268"/>
      <c r="E17" s="269" t="s">
        <v>44</v>
      </c>
      <c r="F17" s="270">
        <f>IF(G35&lt;0.001,IF(MAX(F4:F13)=0,0,F35),"Dateneingabefehler")</f>
        <v>5.3866169191129624E-2</v>
      </c>
      <c r="G17" s="85"/>
      <c r="H17" s="85"/>
    </row>
    <row r="18" spans="1:11" x14ac:dyDescent="0.2">
      <c r="A18" s="85"/>
      <c r="B18" s="85"/>
      <c r="C18" s="85"/>
      <c r="D18" s="93"/>
      <c r="E18" s="267" t="s">
        <v>274</v>
      </c>
      <c r="F18" s="145"/>
      <c r="G18" s="111"/>
      <c r="H18" s="85"/>
    </row>
    <row r="19" spans="1:11" x14ac:dyDescent="0.2">
      <c r="A19" s="85"/>
      <c r="B19" s="85"/>
      <c r="C19" s="85"/>
      <c r="D19" s="95" t="s">
        <v>275</v>
      </c>
      <c r="E19" s="146"/>
      <c r="F19" s="137">
        <f>J35</f>
        <v>7.7297340683852869E-2</v>
      </c>
      <c r="G19" s="85"/>
      <c r="H19" s="85"/>
    </row>
    <row r="20" spans="1:11" x14ac:dyDescent="0.2">
      <c r="A20" s="85"/>
      <c r="B20" s="85"/>
      <c r="C20" s="85"/>
      <c r="D20" s="111" t="s">
        <v>151</v>
      </c>
      <c r="E20" s="85"/>
      <c r="F20" s="85"/>
      <c r="G20" s="85"/>
      <c r="H20" s="85"/>
    </row>
    <row r="21" spans="1:11" x14ac:dyDescent="0.2">
      <c r="A21" s="85"/>
      <c r="B21" s="85"/>
      <c r="C21" s="85"/>
      <c r="D21" s="111"/>
      <c r="E21" s="85"/>
      <c r="F21" s="85"/>
      <c r="G21" s="85"/>
      <c r="H21" s="85"/>
    </row>
    <row r="25" spans="1:11" x14ac:dyDescent="0.2">
      <c r="A25" s="11" t="s">
        <v>76</v>
      </c>
      <c r="B25" s="11" t="s">
        <v>37</v>
      </c>
      <c r="D25" s="16" t="s">
        <v>145</v>
      </c>
      <c r="E25" s="11" t="s">
        <v>76</v>
      </c>
      <c r="F25" s="11" t="s">
        <v>37</v>
      </c>
      <c r="G25" s="16" t="s">
        <v>145</v>
      </c>
    </row>
    <row r="26" spans="1:11" x14ac:dyDescent="0.2">
      <c r="A26" s="12">
        <v>1</v>
      </c>
      <c r="B26" s="14">
        <v>0.01</v>
      </c>
      <c r="C26" s="14"/>
      <c r="D26" s="15">
        <f t="shared" ref="D26:D35" si="2">$B$4/(1+B26)^$A$4+$B$5/(1+B26)^$A$5+$B$6/(1+B26)^$A$6+$B$7/(1+B26)^$A$7+$B$8/(1+B26)^$A$8+$B$9/(1+B26)^$A$9+$B$10/(1+B26)^$A$10+$B$11/(1+B26)^$A$11+$B$12/(1+B26)^$A$12+$B$13/(1+B26)^$A$13</f>
        <v>3062.6056100769674</v>
      </c>
      <c r="E26" s="12">
        <v>1</v>
      </c>
      <c r="F26" s="14">
        <v>0.01</v>
      </c>
      <c r="G26" s="15">
        <f t="shared" ref="G26:G35" si="3">($F$4-$F$15*$G$4) /(1+F26)^$E$4+($F$5-$F$15*$G$5)/(1+F26)^$E$5+($F$6-$F$15*$G$6)/(1+F26)^$E$6+($F$7-$F$15*$G$7)/(1+F26)^$E$7+($F$8-$F$15*$G$8)/(1+F26)^$E$8+($F$9-$F$15*$G$9)/(1+F26)^$E$9+($F$10-$F$15*$G$10)/(1+F26)^$E$10+($F$11-$F$15*$G$11)/(1+F26)^$E$11+($F$12-$F$15*$G$12)/(1+F26)^$E$12+($F$13-$F$15*$G$13)/(1+F26)^$E$13</f>
        <v>423.31424558766048</v>
      </c>
      <c r="I26" s="12">
        <v>1</v>
      </c>
      <c r="J26" s="14">
        <v>0.01</v>
      </c>
      <c r="K26" s="15">
        <f t="shared" ref="K26:K35" si="4">($F$4-0*$G$4) /(1+J26)^$E$4+($F$5-0*$G$5)/(1+J26)^$E$5+($F$6-0*$G$6)/(1+J26)^$E$6+($F$7-0*$G$7)/(1+J26)^$E$7+($F$8-0*$G$8)/(1+J26)^$E$8+($F$9-0*$G$9)/(1+J26)^$E$9+($F$10-0*$G$10)/(1+J26)^$E$10+($F$11-0*$G$11)/(1+J26)^$E$11+($F$12-0*$G$12)/(1+J26)^$E$12+($F$13-0*$G$13)/(1+J26)^$E$13</f>
        <v>646.53095904319343</v>
      </c>
    </row>
    <row r="27" spans="1:11" x14ac:dyDescent="0.2">
      <c r="A27" s="12">
        <v>2</v>
      </c>
      <c r="B27" s="14">
        <v>0.04</v>
      </c>
      <c r="C27" s="14"/>
      <c r="D27" s="15">
        <f t="shared" si="2"/>
        <v>718.80637279440634</v>
      </c>
      <c r="E27" s="12">
        <v>2</v>
      </c>
      <c r="F27" s="14">
        <v>0.04</v>
      </c>
      <c r="G27" s="15">
        <f t="shared" si="3"/>
        <v>129.96040343355344</v>
      </c>
      <c r="I27" s="12">
        <v>2</v>
      </c>
      <c r="J27" s="14">
        <v>0.04</v>
      </c>
      <c r="K27" s="15">
        <f t="shared" si="4"/>
        <v>348.02035655343025</v>
      </c>
    </row>
    <row r="28" spans="1:11" x14ac:dyDescent="0.2">
      <c r="A28" s="12">
        <v>3</v>
      </c>
      <c r="B28" s="14">
        <f t="shared" ref="B28:B35" si="5">IF(ABS(D26-D27)&lt;0.0000001,B27,B27+(B26-B27)*(D27)/(D27-D26))</f>
        <v>4.9200528287923699E-2</v>
      </c>
      <c r="C28" s="14"/>
      <c r="D28" s="15">
        <f t="shared" si="2"/>
        <v>56.392507959015347</v>
      </c>
      <c r="E28" s="12">
        <v>3</v>
      </c>
      <c r="F28" s="14">
        <f t="shared" ref="F28:F35" si="6">IF(ABS(G26-G27)&lt;0.0000001,F27,F27+(F26-F27)*(G27)/(G27-G26))</f>
        <v>5.3290475673942073E-2</v>
      </c>
      <c r="G28" s="15">
        <f t="shared" si="3"/>
        <v>5.3277709278027032</v>
      </c>
      <c r="I28" s="12">
        <v>3</v>
      </c>
      <c r="J28" s="14">
        <f t="shared" ref="J28:J35" si="7">IF(ABS(K26-K27)&lt;0.0000001,J27,J27+(J26-J27)*(K27)/(K27-K26))</f>
        <v>7.4975677947522634E-2</v>
      </c>
      <c r="K28" s="15">
        <f t="shared" si="4"/>
        <v>20.961100998460097</v>
      </c>
    </row>
    <row r="29" spans="1:11" x14ac:dyDescent="0.2">
      <c r="A29" s="12">
        <v>4</v>
      </c>
      <c r="B29" s="14">
        <f t="shared" si="5"/>
        <v>4.9983786145657121E-2</v>
      </c>
      <c r="C29" s="14"/>
      <c r="D29" s="15">
        <f t="shared" si="2"/>
        <v>1.1432889273637556</v>
      </c>
      <c r="E29" s="12">
        <v>4</v>
      </c>
      <c r="F29" s="14">
        <f t="shared" si="6"/>
        <v>5.3858614278484748E-2</v>
      </c>
      <c r="G29" s="15">
        <f t="shared" si="3"/>
        <v>6.9879545795629383E-2</v>
      </c>
      <c r="I29" s="12">
        <v>4</v>
      </c>
      <c r="J29" s="14">
        <f t="shared" si="7"/>
        <v>7.7217255598959617E-2</v>
      </c>
      <c r="K29" s="15">
        <f t="shared" si="4"/>
        <v>0.72154812799635692</v>
      </c>
    </row>
    <row r="30" spans="1:11" x14ac:dyDescent="0.2">
      <c r="A30" s="12">
        <v>5</v>
      </c>
      <c r="B30" s="14">
        <f t="shared" si="5"/>
        <v>4.999999433921555E-2</v>
      </c>
      <c r="C30" s="14"/>
      <c r="D30" s="15">
        <f t="shared" si="2"/>
        <v>1.8634808511706069E-3</v>
      </c>
      <c r="E30" s="12">
        <v>5</v>
      </c>
      <c r="F30" s="14">
        <f t="shared" si="6"/>
        <v>5.3866165074944766E-2</v>
      </c>
      <c r="G30" s="15">
        <f t="shared" si="3"/>
        <v>3.8072588722570799E-5</v>
      </c>
      <c r="I30" s="12">
        <v>5</v>
      </c>
      <c r="J30" s="14">
        <f t="shared" si="7"/>
        <v>7.729716873580135E-2</v>
      </c>
      <c r="K30" s="15">
        <f t="shared" si="4"/>
        <v>1.5490977602894418E-3</v>
      </c>
    </row>
    <row r="31" spans="1:11" x14ac:dyDescent="0.2">
      <c r="A31" s="12">
        <v>6</v>
      </c>
      <c r="B31" s="14">
        <f t="shared" si="5"/>
        <v>5.0000020800565627E-2</v>
      </c>
      <c r="C31" s="14"/>
      <c r="D31" s="15">
        <f t="shared" si="2"/>
        <v>6.1707396525889635E-8</v>
      </c>
      <c r="E31" s="12">
        <v>6</v>
      </c>
      <c r="F31" s="14">
        <f t="shared" si="6"/>
        <v>5.3866169191100322E-2</v>
      </c>
      <c r="G31" s="15">
        <f t="shared" si="3"/>
        <v>2.7102942112833261E-10</v>
      </c>
      <c r="I31" s="12">
        <v>6</v>
      </c>
      <c r="J31" s="14">
        <f t="shared" si="7"/>
        <v>7.729734067111807E-2</v>
      </c>
      <c r="K31" s="15">
        <f t="shared" si="4"/>
        <v>1.1472729966044426E-7</v>
      </c>
    </row>
    <row r="32" spans="1:11" x14ac:dyDescent="0.2">
      <c r="A32" s="12">
        <v>7</v>
      </c>
      <c r="B32" s="14">
        <f t="shared" si="5"/>
        <v>5.0000020801441898E-2</v>
      </c>
      <c r="C32" s="14"/>
      <c r="D32" s="15">
        <f t="shared" si="2"/>
        <v>-1.4551915228366852E-11</v>
      </c>
      <c r="E32" s="12">
        <v>7</v>
      </c>
      <c r="F32" s="14">
        <f t="shared" si="6"/>
        <v>5.3866169191129624E-2</v>
      </c>
      <c r="G32" s="15">
        <f t="shared" si="3"/>
        <v>3.637978807091713E-12</v>
      </c>
      <c r="I32" s="12">
        <v>7</v>
      </c>
      <c r="J32" s="14">
        <f t="shared" si="7"/>
        <v>7.7297340683852661E-2</v>
      </c>
      <c r="K32" s="15">
        <f t="shared" si="4"/>
        <v>1.8189894035458565E-12</v>
      </c>
    </row>
    <row r="33" spans="1:11" x14ac:dyDescent="0.2">
      <c r="A33" s="12">
        <v>8</v>
      </c>
      <c r="B33" s="14">
        <f t="shared" si="5"/>
        <v>5.0000020801441898E-2</v>
      </c>
      <c r="C33" s="14"/>
      <c r="D33" s="15">
        <f t="shared" si="2"/>
        <v>-1.4551915228366852E-11</v>
      </c>
      <c r="E33" s="12">
        <v>8</v>
      </c>
      <c r="F33" s="14">
        <f t="shared" si="6"/>
        <v>5.3866169191129624E-2</v>
      </c>
      <c r="G33" s="15">
        <f t="shared" si="3"/>
        <v>3.637978807091713E-12</v>
      </c>
      <c r="I33" s="12">
        <v>8</v>
      </c>
      <c r="J33" s="14">
        <f t="shared" si="7"/>
        <v>7.7297340683852869E-2</v>
      </c>
      <c r="K33" s="15">
        <f t="shared" si="4"/>
        <v>0</v>
      </c>
    </row>
    <row r="34" spans="1:11" x14ac:dyDescent="0.2">
      <c r="A34" s="12">
        <v>9</v>
      </c>
      <c r="B34" s="14">
        <f t="shared" si="5"/>
        <v>5.0000020801441898E-2</v>
      </c>
      <c r="C34" s="14"/>
      <c r="D34" s="15">
        <f t="shared" si="2"/>
        <v>-1.4551915228366852E-11</v>
      </c>
      <c r="E34" s="12">
        <v>9</v>
      </c>
      <c r="F34" s="14">
        <f t="shared" si="6"/>
        <v>5.3866169191129624E-2</v>
      </c>
      <c r="G34" s="15">
        <f t="shared" si="3"/>
        <v>3.637978807091713E-12</v>
      </c>
      <c r="I34" s="12">
        <v>9</v>
      </c>
      <c r="J34" s="14">
        <f t="shared" si="7"/>
        <v>7.7297340683852869E-2</v>
      </c>
      <c r="K34" s="15">
        <f t="shared" si="4"/>
        <v>0</v>
      </c>
    </row>
    <row r="35" spans="1:11" x14ac:dyDescent="0.2">
      <c r="A35" s="12">
        <v>10</v>
      </c>
      <c r="B35" s="14">
        <f t="shared" si="5"/>
        <v>5.0000020801441898E-2</v>
      </c>
      <c r="C35" s="14"/>
      <c r="D35" s="15">
        <f t="shared" si="2"/>
        <v>-1.4551915228366852E-11</v>
      </c>
      <c r="E35" s="12">
        <v>10</v>
      </c>
      <c r="F35" s="14">
        <f t="shared" si="6"/>
        <v>5.3866169191129624E-2</v>
      </c>
      <c r="G35" s="15">
        <f t="shared" si="3"/>
        <v>3.637978807091713E-12</v>
      </c>
      <c r="I35" s="12">
        <v>10</v>
      </c>
      <c r="J35" s="14">
        <f t="shared" si="7"/>
        <v>7.7297340683852869E-2</v>
      </c>
      <c r="K35" s="15">
        <f t="shared" si="4"/>
        <v>0</v>
      </c>
    </row>
  </sheetData>
  <phoneticPr fontId="3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D30"/>
  <sheetViews>
    <sheetView workbookViewId="0">
      <selection activeCell="B3" sqref="B3"/>
    </sheetView>
  </sheetViews>
  <sheetFormatPr baseColWidth="10" defaultRowHeight="12.75" x14ac:dyDescent="0.2"/>
  <cols>
    <col min="1" max="1" width="23.28515625" style="6" customWidth="1"/>
    <col min="2" max="2" width="13" style="6" customWidth="1"/>
    <col min="3" max="16384" width="11.42578125" style="6"/>
  </cols>
  <sheetData>
    <row r="1" spans="1:4" x14ac:dyDescent="0.2">
      <c r="A1" s="55" t="s">
        <v>81</v>
      </c>
      <c r="B1" s="56"/>
      <c r="C1" s="56"/>
      <c r="D1" s="56"/>
    </row>
    <row r="2" spans="1:4" x14ac:dyDescent="0.2">
      <c r="A2" s="56"/>
      <c r="B2" s="56"/>
      <c r="C2" s="56"/>
      <c r="D2" s="56"/>
    </row>
    <row r="3" spans="1:4" x14ac:dyDescent="0.2">
      <c r="A3" s="56" t="s">
        <v>82</v>
      </c>
      <c r="B3" s="60">
        <v>2000</v>
      </c>
      <c r="C3" s="56"/>
      <c r="D3" s="56"/>
    </row>
    <row r="4" spans="1:4" x14ac:dyDescent="0.2">
      <c r="A4" s="56" t="s">
        <v>83</v>
      </c>
      <c r="B4" s="60">
        <v>2090.9</v>
      </c>
      <c r="C4" s="56"/>
      <c r="D4" s="56"/>
    </row>
    <row r="5" spans="1:4" x14ac:dyDescent="0.2">
      <c r="A5" s="56" t="s">
        <v>84</v>
      </c>
      <c r="B5" s="61">
        <v>1.5</v>
      </c>
      <c r="C5" s="56"/>
      <c r="D5" s="56"/>
    </row>
    <row r="6" spans="1:4" x14ac:dyDescent="0.2">
      <c r="A6" s="56"/>
      <c r="B6" s="56"/>
      <c r="C6" s="56"/>
      <c r="D6" s="56"/>
    </row>
    <row r="7" spans="1:4" x14ac:dyDescent="0.2">
      <c r="A7" s="55" t="s">
        <v>27</v>
      </c>
      <c r="B7" s="56"/>
      <c r="C7" s="56"/>
      <c r="D7" s="56"/>
    </row>
    <row r="8" spans="1:4" x14ac:dyDescent="0.2">
      <c r="A8" s="56" t="s">
        <v>85</v>
      </c>
      <c r="B8" s="57">
        <f>B5-B9</f>
        <v>0.5</v>
      </c>
      <c r="C8" s="56"/>
      <c r="D8" s="56"/>
    </row>
    <row r="9" spans="1:4" x14ac:dyDescent="0.2">
      <c r="A9" s="56" t="s">
        <v>86</v>
      </c>
      <c r="B9" s="56">
        <f>INT(B5)</f>
        <v>1</v>
      </c>
      <c r="C9" s="56"/>
      <c r="D9" s="56"/>
    </row>
    <row r="10" spans="1:4" x14ac:dyDescent="0.2">
      <c r="A10" s="56"/>
      <c r="B10" s="56"/>
      <c r="C10" s="56"/>
      <c r="D10" s="56"/>
    </row>
    <row r="11" spans="1:4" x14ac:dyDescent="0.2">
      <c r="A11" s="56" t="s">
        <v>87</v>
      </c>
      <c r="B11" s="58">
        <f>B30</f>
        <v>2.9999999999999936E-2</v>
      </c>
      <c r="C11" s="56"/>
      <c r="D11" s="56"/>
    </row>
    <row r="12" spans="1:4" x14ac:dyDescent="0.2">
      <c r="A12" s="56" t="s">
        <v>152</v>
      </c>
      <c r="B12" s="58">
        <f>((B4/B3)^(1/B5))-1</f>
        <v>3.0074994539497579E-2</v>
      </c>
      <c r="C12" s="56"/>
      <c r="D12" s="56"/>
    </row>
    <row r="13" spans="1:4" x14ac:dyDescent="0.2">
      <c r="A13" s="59" t="s">
        <v>153</v>
      </c>
      <c r="B13" s="58">
        <f>B11</f>
        <v>2.9999999999999936E-2</v>
      </c>
      <c r="C13" s="56"/>
      <c r="D13" s="56"/>
    </row>
    <row r="14" spans="1:4" x14ac:dyDescent="0.2">
      <c r="A14" s="59"/>
      <c r="B14" s="56"/>
      <c r="C14" s="56"/>
      <c r="D14" s="56"/>
    </row>
    <row r="19" spans="1:3" x14ac:dyDescent="0.2">
      <c r="A19" s="54" t="s">
        <v>88</v>
      </c>
    </row>
    <row r="20" spans="1:3" x14ac:dyDescent="0.2">
      <c r="A20" s="7" t="s">
        <v>89</v>
      </c>
    </row>
    <row r="21" spans="1:3" x14ac:dyDescent="0.2">
      <c r="A21" s="8">
        <v>1</v>
      </c>
      <c r="B21" s="9">
        <f>1%</f>
        <v>0.01</v>
      </c>
      <c r="C21" s="8">
        <f t="shared" ref="C21:C30" si="0">$B$3*(1+$B$8*B21)*(1+B21)^$B$9</f>
        <v>2030.0999999999997</v>
      </c>
    </row>
    <row r="22" spans="1:3" x14ac:dyDescent="0.2">
      <c r="A22" s="8">
        <v>2</v>
      </c>
      <c r="B22" s="9">
        <v>0.1</v>
      </c>
      <c r="C22" s="8">
        <f t="shared" si="0"/>
        <v>2310</v>
      </c>
    </row>
    <row r="23" spans="1:3" x14ac:dyDescent="0.2">
      <c r="A23" s="8">
        <v>3</v>
      </c>
      <c r="B23" s="10">
        <f t="shared" ref="B23:B30" si="1">IF(ABS(C21-C22)&lt;0.0000001,B22,B22+(B21-B22)*(C22-$B$4)/(C22-C21))</f>
        <v>2.9549839228295932E-2</v>
      </c>
      <c r="C23" s="8">
        <f t="shared" si="0"/>
        <v>2089.5227106833063</v>
      </c>
    </row>
    <row r="24" spans="1:3" x14ac:dyDescent="0.2">
      <c r="A24" s="8">
        <v>4</v>
      </c>
      <c r="B24" s="10">
        <f t="shared" si="1"/>
        <v>2.9989931058574445E-2</v>
      </c>
      <c r="C24" s="8">
        <f t="shared" si="0"/>
        <v>2090.8691891406215</v>
      </c>
    </row>
    <row r="25" spans="1:3" x14ac:dyDescent="0.2">
      <c r="A25" s="8">
        <v>5</v>
      </c>
      <c r="B25" s="10">
        <f t="shared" si="1"/>
        <v>3.0000001481478501E-2</v>
      </c>
      <c r="C25" s="8">
        <f t="shared" si="0"/>
        <v>2090.9000045333241</v>
      </c>
    </row>
    <row r="26" spans="1:3" x14ac:dyDescent="0.2">
      <c r="A26" s="8">
        <v>6</v>
      </c>
      <c r="B26" s="10">
        <f t="shared" si="1"/>
        <v>2.999999999999518E-2</v>
      </c>
      <c r="C26" s="8">
        <f t="shared" si="0"/>
        <v>2090.8999999999855</v>
      </c>
    </row>
    <row r="27" spans="1:3" x14ac:dyDescent="0.2">
      <c r="A27" s="8">
        <v>7</v>
      </c>
      <c r="B27" s="10">
        <f t="shared" si="1"/>
        <v>2.9999999999999936E-2</v>
      </c>
      <c r="C27" s="8">
        <f t="shared" si="0"/>
        <v>2090.8999999999996</v>
      </c>
    </row>
    <row r="28" spans="1:3" x14ac:dyDescent="0.2">
      <c r="A28" s="8">
        <v>8</v>
      </c>
      <c r="B28" s="10">
        <f t="shared" si="1"/>
        <v>2.9999999999999936E-2</v>
      </c>
      <c r="C28" s="8">
        <f t="shared" si="0"/>
        <v>2090.8999999999996</v>
      </c>
    </row>
    <row r="29" spans="1:3" x14ac:dyDescent="0.2">
      <c r="A29" s="8">
        <v>9</v>
      </c>
      <c r="B29" s="10">
        <f t="shared" si="1"/>
        <v>2.9999999999999936E-2</v>
      </c>
      <c r="C29" s="8">
        <f t="shared" si="0"/>
        <v>2090.8999999999996</v>
      </c>
    </row>
    <row r="30" spans="1:3" x14ac:dyDescent="0.2">
      <c r="A30" s="8">
        <v>10</v>
      </c>
      <c r="B30" s="10">
        <f t="shared" si="1"/>
        <v>2.9999999999999936E-2</v>
      </c>
      <c r="C30" s="8">
        <f t="shared" si="0"/>
        <v>2090.8999999999996</v>
      </c>
    </row>
  </sheetData>
  <phoneticPr fontId="3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E4"/>
  <sheetViews>
    <sheetView workbookViewId="0">
      <selection activeCell="A5" sqref="A5"/>
    </sheetView>
  </sheetViews>
  <sheetFormatPr baseColWidth="10" defaultRowHeight="12.75" x14ac:dyDescent="0.2"/>
  <sheetData>
    <row r="1" spans="1:5" x14ac:dyDescent="0.2">
      <c r="A1" s="19" t="s">
        <v>154</v>
      </c>
      <c r="B1" s="19"/>
      <c r="C1" s="19"/>
      <c r="D1" s="19"/>
      <c r="E1" s="19"/>
    </row>
    <row r="2" spans="1:5" x14ac:dyDescent="0.2">
      <c r="A2" s="19" t="s">
        <v>155</v>
      </c>
      <c r="B2" s="19"/>
      <c r="C2" s="19"/>
      <c r="D2" s="19"/>
      <c r="E2" s="19"/>
    </row>
    <row r="3" spans="1:5" x14ac:dyDescent="0.2">
      <c r="A3" s="19"/>
      <c r="B3" s="19"/>
      <c r="C3" s="19"/>
      <c r="D3" s="19"/>
      <c r="E3" s="19"/>
    </row>
    <row r="4" spans="1:5" x14ac:dyDescent="0.2">
      <c r="A4" s="19"/>
      <c r="B4" s="19"/>
      <c r="C4" s="19"/>
      <c r="D4" s="19"/>
      <c r="E4" s="19"/>
    </row>
  </sheetData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F13"/>
  <sheetViews>
    <sheetView showGridLines="0" workbookViewId="0">
      <selection activeCell="E10" sqref="E10"/>
    </sheetView>
  </sheetViews>
  <sheetFormatPr baseColWidth="10" defaultRowHeight="12.75" x14ac:dyDescent="0.2"/>
  <cols>
    <col min="1" max="1" width="15.85546875" customWidth="1"/>
    <col min="3" max="3" width="11.28515625" customWidth="1"/>
    <col min="4" max="4" width="2.140625" customWidth="1"/>
    <col min="5" max="5" width="12.5703125" customWidth="1"/>
  </cols>
  <sheetData>
    <row r="1" spans="1:6" x14ac:dyDescent="0.2">
      <c r="A1" s="96" t="s">
        <v>156</v>
      </c>
      <c r="B1" s="97"/>
      <c r="C1" s="97"/>
      <c r="D1" s="97"/>
      <c r="E1" s="97"/>
      <c r="F1" s="97"/>
    </row>
    <row r="2" spans="1:6" x14ac:dyDescent="0.2">
      <c r="A2" s="97"/>
      <c r="B2" s="97"/>
      <c r="C2" s="97"/>
      <c r="D2" s="97"/>
      <c r="E2" s="97"/>
      <c r="F2" s="97"/>
    </row>
    <row r="3" spans="1:6" ht="25.5" customHeight="1" x14ac:dyDescent="0.2">
      <c r="A3" s="98"/>
      <c r="B3" s="99" t="s">
        <v>82</v>
      </c>
      <c r="C3" s="110" t="s">
        <v>157</v>
      </c>
      <c r="D3" s="97"/>
      <c r="E3" s="99" t="s">
        <v>82</v>
      </c>
      <c r="F3" s="110" t="s">
        <v>157</v>
      </c>
    </row>
    <row r="4" spans="1:6" x14ac:dyDescent="0.2">
      <c r="A4" s="98" t="s">
        <v>4</v>
      </c>
      <c r="B4" s="35">
        <v>0</v>
      </c>
      <c r="C4" s="150"/>
      <c r="D4" s="97"/>
      <c r="E4" s="41">
        <v>0</v>
      </c>
      <c r="F4" s="150"/>
    </row>
    <row r="5" spans="1:6" x14ac:dyDescent="0.2">
      <c r="A5" s="98" t="s">
        <v>5</v>
      </c>
      <c r="B5" s="35">
        <v>10</v>
      </c>
      <c r="C5" s="101">
        <v>0.04</v>
      </c>
      <c r="D5" s="97"/>
      <c r="E5" s="41">
        <v>2.25</v>
      </c>
      <c r="F5" s="104">
        <v>0.01</v>
      </c>
    </row>
    <row r="6" spans="1:6" x14ac:dyDescent="0.2">
      <c r="A6" s="98" t="s">
        <v>6</v>
      </c>
      <c r="B6" s="35">
        <v>20</v>
      </c>
      <c r="C6" s="101">
        <v>0.05</v>
      </c>
      <c r="D6" s="97"/>
      <c r="E6" s="41">
        <v>3.25</v>
      </c>
      <c r="F6" s="104">
        <v>1.2E-2</v>
      </c>
    </row>
    <row r="7" spans="1:6" x14ac:dyDescent="0.2">
      <c r="A7" s="98" t="s">
        <v>7</v>
      </c>
      <c r="B7" s="35">
        <v>30</v>
      </c>
      <c r="C7" s="101">
        <v>0.06</v>
      </c>
      <c r="D7" s="97"/>
      <c r="E7" s="41">
        <v>4</v>
      </c>
      <c r="F7" s="104">
        <v>1.7500000000000002E-2</v>
      </c>
    </row>
    <row r="8" spans="1:6" x14ac:dyDescent="0.2">
      <c r="A8" s="98" t="s">
        <v>8</v>
      </c>
      <c r="B8" s="35">
        <v>0</v>
      </c>
      <c r="C8" s="101"/>
      <c r="D8" s="97"/>
      <c r="E8" s="41">
        <v>4.5</v>
      </c>
      <c r="F8" s="104">
        <v>0.02</v>
      </c>
    </row>
    <row r="9" spans="1:6" x14ac:dyDescent="0.2">
      <c r="A9" s="98" t="s">
        <v>9</v>
      </c>
      <c r="B9" s="35">
        <v>0</v>
      </c>
      <c r="C9" s="101"/>
      <c r="D9" s="97"/>
      <c r="E9" s="41">
        <v>4.75</v>
      </c>
      <c r="F9" s="104">
        <v>2.5000000000000001E-2</v>
      </c>
    </row>
    <row r="10" spans="1:6" x14ac:dyDescent="0.2">
      <c r="A10" s="98" t="s">
        <v>10</v>
      </c>
      <c r="B10" s="35">
        <v>0</v>
      </c>
      <c r="C10" s="101"/>
      <c r="D10" s="97"/>
      <c r="E10" s="41">
        <v>105.25</v>
      </c>
      <c r="F10" s="260">
        <v>2.75E-2</v>
      </c>
    </row>
    <row r="11" spans="1:6" x14ac:dyDescent="0.2">
      <c r="A11" s="42"/>
      <c r="B11" s="42"/>
      <c r="C11" s="42"/>
      <c r="D11" s="97"/>
      <c r="E11" s="42"/>
      <c r="F11" s="42"/>
    </row>
    <row r="12" spans="1:6" x14ac:dyDescent="0.2">
      <c r="A12" s="100" t="s">
        <v>158</v>
      </c>
      <c r="B12" s="102">
        <f>B4+B5/(1+C5)+B6/(1+C6)^2+B7/(1+C7)^3+B8/(1+C8)^4+B9/(1+C9)^5+B10/(1+C10)^6</f>
        <v>52.944552675514664</v>
      </c>
      <c r="C12" s="97"/>
      <c r="D12" s="97"/>
      <c r="E12" s="102">
        <f>E4+E5/(1+F5)+E6/(1+F6)^2+E7/(1+F7)^3+E8/(1+F8)^4+E9/(1+F9)^5+E10/(1+F10)^6</f>
        <v>106.99372019885676</v>
      </c>
      <c r="F12" s="97"/>
    </row>
    <row r="13" spans="1:6" x14ac:dyDescent="0.2">
      <c r="A13" s="100"/>
      <c r="B13" s="97"/>
      <c r="C13" s="97"/>
      <c r="D13" s="97"/>
      <c r="E13" s="97"/>
      <c r="F13" s="97"/>
    </row>
  </sheetData>
  <phoneticPr fontId="3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E19"/>
  <sheetViews>
    <sheetView topLeftCell="A3" workbookViewId="0">
      <selection activeCell="B3" sqref="B3"/>
    </sheetView>
  </sheetViews>
  <sheetFormatPr baseColWidth="10" defaultRowHeight="12.75" x14ac:dyDescent="0.2"/>
  <cols>
    <col min="1" max="1" width="15.85546875" customWidth="1"/>
    <col min="3" max="3" width="15.140625" customWidth="1"/>
    <col min="5" max="5" width="14.140625" customWidth="1"/>
  </cols>
  <sheetData>
    <row r="1" spans="1:5" x14ac:dyDescent="0.2">
      <c r="A1" s="39" t="s">
        <v>26</v>
      </c>
      <c r="B1" s="19"/>
      <c r="C1" s="19"/>
      <c r="D1" s="19"/>
    </row>
    <row r="2" spans="1:5" x14ac:dyDescent="0.2">
      <c r="A2" s="19"/>
      <c r="B2" s="4" t="s">
        <v>159</v>
      </c>
      <c r="C2" s="4" t="s">
        <v>160</v>
      </c>
      <c r="D2" s="19"/>
    </row>
    <row r="3" spans="1:5" x14ac:dyDescent="0.2">
      <c r="A3" s="19" t="s">
        <v>1</v>
      </c>
      <c r="B3" s="1">
        <v>0.06</v>
      </c>
      <c r="C3" s="1">
        <v>0.06</v>
      </c>
      <c r="D3" s="19"/>
      <c r="E3" s="3"/>
    </row>
    <row r="4" spans="1:5" x14ac:dyDescent="0.2">
      <c r="A4" s="19"/>
      <c r="B4" s="19"/>
      <c r="C4" s="19"/>
      <c r="D4" s="19"/>
    </row>
    <row r="5" spans="1:5" x14ac:dyDescent="0.2">
      <c r="A5" s="19"/>
      <c r="B5" s="44" t="s">
        <v>161</v>
      </c>
      <c r="C5" s="44" t="s">
        <v>161</v>
      </c>
      <c r="D5" s="19"/>
    </row>
    <row r="6" spans="1:5" x14ac:dyDescent="0.2">
      <c r="A6" s="19" t="s">
        <v>4</v>
      </c>
      <c r="B6" s="52">
        <v>-100000</v>
      </c>
      <c r="C6" s="52">
        <v>-50000</v>
      </c>
      <c r="D6" s="19"/>
    </row>
    <row r="7" spans="1:5" x14ac:dyDescent="0.2">
      <c r="A7" s="19" t="s">
        <v>5</v>
      </c>
      <c r="B7" s="52">
        <v>15000</v>
      </c>
      <c r="C7" s="47">
        <v>0</v>
      </c>
      <c r="D7" s="19"/>
    </row>
    <row r="8" spans="1:5" x14ac:dyDescent="0.2">
      <c r="A8" s="19" t="s">
        <v>6</v>
      </c>
      <c r="B8" s="52">
        <v>15000</v>
      </c>
      <c r="C8" s="47">
        <v>0</v>
      </c>
      <c r="D8" s="19"/>
    </row>
    <row r="9" spans="1:5" x14ac:dyDescent="0.2">
      <c r="A9" s="19" t="s">
        <v>7</v>
      </c>
      <c r="B9" s="52">
        <v>15000</v>
      </c>
      <c r="C9" s="47">
        <v>0</v>
      </c>
      <c r="D9" s="19"/>
    </row>
    <row r="10" spans="1:5" x14ac:dyDescent="0.2">
      <c r="A10" s="19" t="s">
        <v>8</v>
      </c>
      <c r="B10" s="52">
        <v>15000</v>
      </c>
      <c r="C10" s="47">
        <v>0</v>
      </c>
      <c r="D10" s="19"/>
      <c r="E10" s="2"/>
    </row>
    <row r="11" spans="1:5" x14ac:dyDescent="0.2">
      <c r="A11" s="19" t="s">
        <v>9</v>
      </c>
      <c r="B11" s="52">
        <v>15000</v>
      </c>
      <c r="C11" s="52">
        <v>40000</v>
      </c>
      <c r="D11" s="19"/>
    </row>
    <row r="12" spans="1:5" x14ac:dyDescent="0.2">
      <c r="A12" s="19" t="s">
        <v>10</v>
      </c>
      <c r="B12" s="52">
        <v>15000</v>
      </c>
      <c r="C12" s="47">
        <v>0</v>
      </c>
      <c r="D12" s="19"/>
    </row>
    <row r="13" spans="1:5" x14ac:dyDescent="0.2">
      <c r="A13" s="19" t="s">
        <v>11</v>
      </c>
      <c r="B13" s="52">
        <v>15000</v>
      </c>
      <c r="C13" s="47">
        <v>0</v>
      </c>
      <c r="D13" s="19"/>
    </row>
    <row r="14" spans="1:5" x14ac:dyDescent="0.2">
      <c r="A14" s="19" t="s">
        <v>12</v>
      </c>
      <c r="B14" s="52">
        <v>15000</v>
      </c>
      <c r="C14" s="47">
        <v>0</v>
      </c>
      <c r="D14" s="19"/>
    </row>
    <row r="15" spans="1:5" x14ac:dyDescent="0.2">
      <c r="A15" s="19" t="s">
        <v>13</v>
      </c>
      <c r="B15" s="52">
        <v>15000</v>
      </c>
      <c r="C15" s="47">
        <v>0</v>
      </c>
      <c r="D15" s="19"/>
    </row>
    <row r="16" spans="1:5" x14ac:dyDescent="0.2">
      <c r="A16" s="19" t="s">
        <v>14</v>
      </c>
      <c r="B16" s="52">
        <v>15000</v>
      </c>
      <c r="C16" s="52">
        <v>40000</v>
      </c>
      <c r="D16" s="19"/>
      <c r="E16" s="2"/>
    </row>
    <row r="17" spans="1:5" x14ac:dyDescent="0.2">
      <c r="A17" s="39" t="s">
        <v>27</v>
      </c>
      <c r="B17" s="19"/>
      <c r="C17" s="19"/>
      <c r="D17" s="19"/>
      <c r="E17" s="2"/>
    </row>
    <row r="18" spans="1:5" x14ac:dyDescent="0.2">
      <c r="A18" s="19" t="s">
        <v>162</v>
      </c>
      <c r="B18" s="50">
        <f>NPV(B3,B7:B16)+B6</f>
        <v>10401.305771220403</v>
      </c>
      <c r="C18" s="50">
        <f>NPV(C3,C7:C16)+C6</f>
        <v>2226.1179912469961</v>
      </c>
      <c r="D18" s="19"/>
    </row>
    <row r="19" spans="1:5" x14ac:dyDescent="0.2">
      <c r="A19" s="19"/>
      <c r="B19" s="19"/>
      <c r="C19" s="19"/>
      <c r="D19" s="19"/>
    </row>
  </sheetData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F11"/>
  <sheetViews>
    <sheetView workbookViewId="0">
      <selection activeCell="B3" sqref="B3"/>
    </sheetView>
  </sheetViews>
  <sheetFormatPr baseColWidth="10" defaultRowHeight="12.75" x14ac:dyDescent="0.2"/>
  <cols>
    <col min="1" max="1" width="18.5703125" customWidth="1"/>
    <col min="2" max="2" width="9.28515625" customWidth="1"/>
    <col min="3" max="3" width="6.5703125" customWidth="1"/>
    <col min="6" max="6" width="20" customWidth="1"/>
  </cols>
  <sheetData>
    <row r="1" spans="1:6" x14ac:dyDescent="0.2">
      <c r="A1" s="39" t="s">
        <v>163</v>
      </c>
      <c r="B1" s="19"/>
      <c r="C1" s="19"/>
      <c r="D1" s="19"/>
      <c r="E1" s="19"/>
      <c r="F1" s="19"/>
    </row>
    <row r="2" spans="1:6" x14ac:dyDescent="0.2">
      <c r="A2" s="19"/>
      <c r="B2" s="19"/>
      <c r="C2" s="19"/>
      <c r="D2" s="19"/>
      <c r="E2" s="19"/>
      <c r="F2" s="19"/>
    </row>
    <row r="3" spans="1:6" x14ac:dyDescent="0.2">
      <c r="A3" s="19" t="s">
        <v>164</v>
      </c>
      <c r="B3" s="52">
        <v>10000</v>
      </c>
      <c r="C3" s="19" t="s">
        <v>165</v>
      </c>
      <c r="D3" s="19"/>
      <c r="E3" s="19"/>
      <c r="F3" s="19"/>
    </row>
    <row r="4" spans="1:6" x14ac:dyDescent="0.2">
      <c r="A4" s="19" t="s">
        <v>1</v>
      </c>
      <c r="B4" s="51">
        <v>0.04</v>
      </c>
      <c r="C4" s="19"/>
      <c r="D4" s="19"/>
      <c r="E4" s="19" t="s">
        <v>166</v>
      </c>
      <c r="F4" s="19"/>
    </row>
    <row r="5" spans="1:6" x14ac:dyDescent="0.2">
      <c r="A5" s="19"/>
      <c r="B5" s="19"/>
      <c r="C5" s="19"/>
      <c r="D5" s="134" t="s">
        <v>163</v>
      </c>
      <c r="E5" s="31" t="s">
        <v>8</v>
      </c>
      <c r="F5" s="31"/>
    </row>
    <row r="6" spans="1:6" x14ac:dyDescent="0.2">
      <c r="A6" s="19" t="s">
        <v>167</v>
      </c>
      <c r="B6" s="132">
        <f>B3</f>
        <v>10000</v>
      </c>
      <c r="C6" s="19" t="s">
        <v>165</v>
      </c>
      <c r="D6" s="133">
        <v>0</v>
      </c>
      <c r="E6" s="19">
        <f>(1-D6)*((1+$B$4)^4+(1+$B$4)^3+(1+$B$4)^2+(1+$B$4))</f>
        <v>4.4163225600000002</v>
      </c>
      <c r="F6" s="19" t="str">
        <f>IF(MIN($E$6:$E$8)=E6,"K  (Bester Kauf)","K")</f>
        <v>K</v>
      </c>
    </row>
    <row r="7" spans="1:6" x14ac:dyDescent="0.2">
      <c r="A7" s="19" t="s">
        <v>168</v>
      </c>
      <c r="B7" s="132">
        <f>B6*2</f>
        <v>20000</v>
      </c>
      <c r="C7" s="19" t="s">
        <v>165</v>
      </c>
      <c r="D7" s="133">
        <v>0.03</v>
      </c>
      <c r="E7" s="19">
        <f>2*(1-D7)*((1+$B$4)^4+(1+$B$4)^2)</f>
        <v>4.3678296064000008</v>
      </c>
      <c r="F7" s="19" t="str">
        <f>IF(MIN($E$6:$E$8)=E7,"K  (Bester Kauf)","K")</f>
        <v>K  (Bester Kauf)</v>
      </c>
    </row>
    <row r="8" spans="1:6" x14ac:dyDescent="0.2">
      <c r="A8" s="19" t="s">
        <v>169</v>
      </c>
      <c r="B8" s="132">
        <f>B7*2</f>
        <v>40000</v>
      </c>
      <c r="C8" s="19" t="s">
        <v>165</v>
      </c>
      <c r="D8" s="133">
        <v>0.06</v>
      </c>
      <c r="E8" s="19">
        <f>4*(1-D8)*((1+$B$4)^4)</f>
        <v>4.3986681856000009</v>
      </c>
      <c r="F8" s="19" t="str">
        <f>IF(MIN($E$6:$E$8)=E8,"K  (Bester Kauf)","K")</f>
        <v>K</v>
      </c>
    </row>
    <row r="9" spans="1:6" x14ac:dyDescent="0.2">
      <c r="A9" s="19"/>
      <c r="B9" s="19"/>
      <c r="C9" s="19"/>
      <c r="D9" s="19"/>
      <c r="E9" s="19"/>
      <c r="F9" s="19"/>
    </row>
    <row r="10" spans="1:6" x14ac:dyDescent="0.2">
      <c r="A10" s="19" t="s">
        <v>170</v>
      </c>
      <c r="B10" s="132">
        <f>B3</f>
        <v>10000</v>
      </c>
      <c r="C10" s="19" t="s">
        <v>171</v>
      </c>
      <c r="D10" s="19"/>
      <c r="E10" s="19"/>
      <c r="F10" s="19"/>
    </row>
    <row r="11" spans="1:6" x14ac:dyDescent="0.2">
      <c r="A11" s="19"/>
      <c r="B11" s="19"/>
      <c r="C11" s="19"/>
      <c r="D11" s="19"/>
      <c r="E11" s="19"/>
      <c r="F11" s="19"/>
    </row>
  </sheetData>
  <phoneticPr fontId="3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 copies="0" r:id="rId1"/>
  <headerFooter alignWithMargins="0">
    <oddHeader>&amp;A</oddHeader>
    <oddFooter>Seite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G29"/>
  <sheetViews>
    <sheetView workbookViewId="0">
      <selection activeCell="B5" sqref="B5"/>
    </sheetView>
  </sheetViews>
  <sheetFormatPr baseColWidth="10" defaultRowHeight="12.75" x14ac:dyDescent="0.2"/>
  <cols>
    <col min="1" max="1" width="15.85546875" customWidth="1"/>
  </cols>
  <sheetData>
    <row r="1" spans="1:7" x14ac:dyDescent="0.2">
      <c r="A1" s="193" t="s">
        <v>216</v>
      </c>
      <c r="B1" s="19"/>
      <c r="C1" s="19"/>
      <c r="D1" s="19"/>
      <c r="E1" s="19"/>
      <c r="F1" s="19"/>
      <c r="G1" s="19"/>
    </row>
    <row r="2" spans="1:7" x14ac:dyDescent="0.2">
      <c r="A2" s="193" t="s">
        <v>215</v>
      </c>
      <c r="B2" s="19"/>
      <c r="C2" s="19"/>
      <c r="D2" s="19"/>
      <c r="E2" s="19"/>
      <c r="F2" s="19"/>
      <c r="G2" s="19"/>
    </row>
    <row r="3" spans="1:7" x14ac:dyDescent="0.2">
      <c r="A3" s="19"/>
      <c r="B3" s="19"/>
      <c r="C3" s="19"/>
      <c r="D3" s="19"/>
      <c r="E3" s="19"/>
      <c r="F3" s="19"/>
      <c r="G3" s="19"/>
    </row>
    <row r="4" spans="1:7" x14ac:dyDescent="0.2">
      <c r="A4" s="129" t="s">
        <v>84</v>
      </c>
      <c r="B4" s="129">
        <v>1</v>
      </c>
      <c r="C4" s="129">
        <v>2</v>
      </c>
      <c r="D4" s="129">
        <v>3</v>
      </c>
      <c r="E4" s="129">
        <v>4</v>
      </c>
      <c r="F4" s="129">
        <v>5</v>
      </c>
      <c r="G4" s="19"/>
    </row>
    <row r="5" spans="1:7" x14ac:dyDescent="0.2">
      <c r="A5" s="129" t="s">
        <v>172</v>
      </c>
      <c r="B5" s="147">
        <v>0.04</v>
      </c>
      <c r="C5" s="148">
        <v>0.05</v>
      </c>
      <c r="D5" s="148">
        <v>0.06</v>
      </c>
      <c r="E5" s="148">
        <v>7.0000000000000007E-2</v>
      </c>
      <c r="F5" s="148">
        <v>0.08</v>
      </c>
      <c r="G5" s="19"/>
    </row>
    <row r="6" spans="1:7" x14ac:dyDescent="0.2">
      <c r="A6" s="153" t="s">
        <v>173</v>
      </c>
      <c r="B6" s="37"/>
      <c r="C6" s="37"/>
      <c r="D6" s="37"/>
      <c r="E6" s="37"/>
      <c r="F6" s="37"/>
      <c r="G6" s="19"/>
    </row>
    <row r="7" spans="1:7" x14ac:dyDescent="0.2">
      <c r="A7" s="154" t="s">
        <v>117</v>
      </c>
      <c r="B7" s="38">
        <f>1/(1+B5)^B4</f>
        <v>0.96153846153846145</v>
      </c>
      <c r="C7" s="38">
        <f>1/(1+C5)^C4</f>
        <v>0.90702947845804982</v>
      </c>
      <c r="D7" s="38">
        <f>1/(1+D5)^D4</f>
        <v>0.8396192830323016</v>
      </c>
      <c r="E7" s="38">
        <f>1/(1+E5)^E4</f>
        <v>0.7628952120475252</v>
      </c>
      <c r="F7" s="38">
        <f>1/(1+F5)^F4</f>
        <v>0.68058319703375303</v>
      </c>
      <c r="G7" s="19"/>
    </row>
    <row r="8" spans="1:7" x14ac:dyDescent="0.2">
      <c r="A8" s="19"/>
      <c r="B8" s="19"/>
      <c r="C8" s="19"/>
      <c r="D8" s="19"/>
      <c r="E8" s="19"/>
      <c r="F8" s="19"/>
      <c r="G8" s="19"/>
    </row>
    <row r="9" spans="1:7" x14ac:dyDescent="0.2">
      <c r="A9" s="193" t="s">
        <v>187</v>
      </c>
      <c r="B9" s="19"/>
      <c r="C9" s="19"/>
      <c r="D9" s="19"/>
      <c r="E9" s="19"/>
      <c r="F9" s="19"/>
      <c r="G9" s="19"/>
    </row>
    <row r="10" spans="1:7" ht="24.75" customHeight="1" x14ac:dyDescent="0.2">
      <c r="A10" s="149" t="s">
        <v>174</v>
      </c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9"/>
    </row>
    <row r="11" spans="1:7" x14ac:dyDescent="0.2">
      <c r="A11" s="129">
        <v>0</v>
      </c>
      <c r="B11" s="66">
        <f>B5</f>
        <v>0.04</v>
      </c>
      <c r="C11" s="66">
        <f>C5</f>
        <v>0.05</v>
      </c>
      <c r="D11" s="66">
        <f>D5</f>
        <v>0.06</v>
      </c>
      <c r="E11" s="66">
        <f>E5</f>
        <v>7.0000000000000007E-2</v>
      </c>
      <c r="F11" s="66">
        <f>F5</f>
        <v>0.08</v>
      </c>
      <c r="G11" s="19"/>
    </row>
    <row r="12" spans="1:7" x14ac:dyDescent="0.2">
      <c r="A12" s="129">
        <v>1</v>
      </c>
      <c r="B12" s="66"/>
      <c r="C12" s="150">
        <f>((1+C11)^C10-(1+B11)^B10)/(1+B11)^B10</f>
        <v>6.0096153846153841E-2</v>
      </c>
      <c r="D12" s="150">
        <f>((1+D11)^3/(1+B11)^1)^0.5-1</f>
        <v>7.0143771793160781E-2</v>
      </c>
      <c r="E12" s="150">
        <f>((1+E11)^4/(1+B11)^1)^(1/3)-1</f>
        <v>8.0191089543291127E-2</v>
      </c>
      <c r="F12" s="150">
        <f>((1+F11)^5/(1+B11)^1)^(1/4)-1</f>
        <v>9.0238111314969061E-2</v>
      </c>
      <c r="G12" s="19"/>
    </row>
    <row r="13" spans="1:7" x14ac:dyDescent="0.2">
      <c r="A13" s="129">
        <v>2</v>
      </c>
      <c r="B13" s="66"/>
      <c r="C13" s="66"/>
      <c r="D13" s="150">
        <f>((1+D11)^D10-(1+C11)^C10)/(1+C11)^C10</f>
        <v>8.0286621315192971E-2</v>
      </c>
      <c r="E13" s="150">
        <f>((1+E11)^4/(1+C11)^2)^0.5-1</f>
        <v>9.0380952380952451E-2</v>
      </c>
      <c r="F13" s="150">
        <f>((1+F11)^5/(1+C11)^2)^(1/3)-1</f>
        <v>0.10047469296871658</v>
      </c>
      <c r="G13" s="19"/>
    </row>
    <row r="14" spans="1:7" x14ac:dyDescent="0.2">
      <c r="A14" s="129">
        <v>3</v>
      </c>
      <c r="B14" s="66"/>
      <c r="C14" s="66"/>
      <c r="D14" s="66"/>
      <c r="E14" s="150">
        <f>((1+E11)^E10-(1+D11)^D10)/(1+D11)^D10</f>
        <v>0.10056960611780168</v>
      </c>
      <c r="F14" s="150">
        <f>((1+F11)^5/(1+D11)^3)^0.5-1</f>
        <v>0.11070976694276302</v>
      </c>
      <c r="G14" s="19"/>
    </row>
    <row r="15" spans="1:7" x14ac:dyDescent="0.2">
      <c r="A15" s="129">
        <v>4</v>
      </c>
      <c r="B15" s="66"/>
      <c r="C15" s="66"/>
      <c r="D15" s="66"/>
      <c r="E15" s="66"/>
      <c r="F15" s="150">
        <f>((1+F11)^F10-(1+E11)^E10)/(1+E11)^E10</f>
        <v>0.12094335471771868</v>
      </c>
      <c r="G15" s="19"/>
    </row>
    <row r="16" spans="1:7" x14ac:dyDescent="0.2">
      <c r="A16" s="19"/>
      <c r="B16" s="19"/>
      <c r="C16" s="19"/>
      <c r="D16" s="19"/>
      <c r="E16" s="19"/>
      <c r="F16" s="19"/>
      <c r="G16" s="19"/>
    </row>
    <row r="17" spans="1:7" x14ac:dyDescent="0.2">
      <c r="A17" s="19" t="s">
        <v>175</v>
      </c>
      <c r="B17" s="19"/>
      <c r="C17" s="19"/>
      <c r="D17" s="19"/>
      <c r="E17" s="19"/>
      <c r="F17" s="19"/>
      <c r="G17" s="19"/>
    </row>
    <row r="18" spans="1:7" x14ac:dyDescent="0.2">
      <c r="A18" s="19" t="s">
        <v>176</v>
      </c>
      <c r="B18" s="19"/>
      <c r="C18" s="19"/>
      <c r="D18" s="19"/>
      <c r="E18" s="43">
        <f>F13</f>
        <v>0.10047469296871658</v>
      </c>
      <c r="F18" s="19"/>
      <c r="G18" s="19"/>
    </row>
    <row r="19" spans="1:7" x14ac:dyDescent="0.2">
      <c r="A19" s="19"/>
      <c r="B19" s="19"/>
      <c r="C19" s="19"/>
      <c r="D19" s="19"/>
      <c r="E19" s="19"/>
      <c r="F19" s="19"/>
      <c r="G19" s="19"/>
    </row>
    <row r="20" spans="1:7" x14ac:dyDescent="0.2">
      <c r="A20" s="193" t="s">
        <v>197</v>
      </c>
      <c r="B20" s="19"/>
      <c r="C20" s="19"/>
      <c r="D20" s="19"/>
      <c r="E20" s="19"/>
      <c r="F20" s="19"/>
      <c r="G20" s="19"/>
    </row>
    <row r="21" spans="1:7" ht="24.75" customHeight="1" x14ac:dyDescent="0.2">
      <c r="A21" s="149" t="s">
        <v>198</v>
      </c>
      <c r="B21" s="18">
        <v>1</v>
      </c>
      <c r="C21" s="18">
        <v>2</v>
      </c>
      <c r="D21" s="18">
        <v>3</v>
      </c>
      <c r="E21" s="18">
        <v>4</v>
      </c>
      <c r="F21" s="18">
        <v>5</v>
      </c>
      <c r="G21" s="19"/>
    </row>
    <row r="22" spans="1:7" x14ac:dyDescent="0.2">
      <c r="A22" s="129">
        <v>0</v>
      </c>
      <c r="B22" s="192">
        <f>1/(1+B11)^B10</f>
        <v>0.96153846153846145</v>
      </c>
      <c r="C22" s="192">
        <f>1/(1+C11)^C10</f>
        <v>0.90702947845804982</v>
      </c>
      <c r="D22" s="192">
        <f>1/(1+D11)^D10</f>
        <v>0.8396192830323016</v>
      </c>
      <c r="E22" s="192">
        <f>1/(1+E11)^E10</f>
        <v>0.7628952120475252</v>
      </c>
      <c r="F22" s="192">
        <f>1/(1+F11)^F10</f>
        <v>0.68058319703375303</v>
      </c>
      <c r="G22" s="19"/>
    </row>
    <row r="23" spans="1:7" x14ac:dyDescent="0.2">
      <c r="A23" s="129">
        <v>1</v>
      </c>
      <c r="B23" s="192"/>
      <c r="C23" s="192">
        <f>C22/$B$22</f>
        <v>0.94331065759637189</v>
      </c>
      <c r="D23" s="192">
        <f>D22/$B$22</f>
        <v>0.87320405435359372</v>
      </c>
      <c r="E23" s="192">
        <f>E22/$B$22</f>
        <v>0.79341102052942625</v>
      </c>
      <c r="F23" s="192">
        <f>F22/$B$22</f>
        <v>0.70780652491510321</v>
      </c>
      <c r="G23" s="19"/>
    </row>
    <row r="24" spans="1:7" x14ac:dyDescent="0.2">
      <c r="A24" s="129">
        <v>2</v>
      </c>
      <c r="B24" s="192"/>
      <c r="C24" s="192"/>
      <c r="D24" s="192">
        <f>D22/$C$22</f>
        <v>0.92568025954311262</v>
      </c>
      <c r="E24" s="192">
        <f>E22/$C$22</f>
        <v>0.84109197128239654</v>
      </c>
      <c r="F24" s="192">
        <f>F22/$C$22</f>
        <v>0.75034297472971279</v>
      </c>
      <c r="G24" s="19"/>
    </row>
    <row r="25" spans="1:7" x14ac:dyDescent="0.2">
      <c r="A25" s="129">
        <v>3</v>
      </c>
      <c r="B25" s="192"/>
      <c r="C25" s="192"/>
      <c r="D25" s="192"/>
      <c r="E25" s="192">
        <f>E22/$D$22</f>
        <v>0.9086204038719955</v>
      </c>
      <c r="F25" s="192">
        <f>F22/$D$22</f>
        <v>0.81058547699835259</v>
      </c>
      <c r="G25" s="19"/>
    </row>
    <row r="26" spans="1:7" x14ac:dyDescent="0.2">
      <c r="A26" s="129">
        <v>4</v>
      </c>
      <c r="B26" s="192"/>
      <c r="C26" s="192"/>
      <c r="D26" s="192"/>
      <c r="E26" s="192"/>
      <c r="F26" s="192">
        <f>F22/E22</f>
        <v>0.89210573914488733</v>
      </c>
      <c r="G26" s="19"/>
    </row>
    <row r="27" spans="1:7" x14ac:dyDescent="0.2">
      <c r="A27" s="19"/>
      <c r="B27" s="19"/>
      <c r="C27" s="19"/>
      <c r="D27" s="19"/>
      <c r="E27" s="19"/>
      <c r="F27" s="19"/>
      <c r="G27" s="19"/>
    </row>
    <row r="28" spans="1:7" x14ac:dyDescent="0.2">
      <c r="A28" s="19"/>
      <c r="B28" s="19"/>
      <c r="C28" s="19"/>
      <c r="D28" s="19"/>
      <c r="E28" s="19"/>
      <c r="F28" s="19"/>
      <c r="G28" s="19"/>
    </row>
    <row r="29" spans="1:7" x14ac:dyDescent="0.2">
      <c r="A29" s="19"/>
      <c r="B29" s="19"/>
      <c r="C29" s="19"/>
      <c r="D29" s="19"/>
      <c r="E29" s="19"/>
      <c r="F29" s="19"/>
      <c r="G29" s="1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workbookViewId="0">
      <selection activeCell="B5" sqref="B5"/>
    </sheetView>
  </sheetViews>
  <sheetFormatPr baseColWidth="10" defaultRowHeight="12.75" x14ac:dyDescent="0.2"/>
  <cols>
    <col min="1" max="1" width="14.140625" customWidth="1"/>
    <col min="2" max="2" width="9.7109375" customWidth="1"/>
    <col min="3" max="3" width="9.42578125" customWidth="1"/>
    <col min="4" max="4" width="9.5703125" customWidth="1"/>
    <col min="5" max="6" width="8.7109375" customWidth="1"/>
    <col min="7" max="7" width="8" customWidth="1"/>
    <col min="8" max="8" width="8.140625" customWidth="1"/>
    <col min="9" max="9" width="10.42578125" customWidth="1"/>
  </cols>
  <sheetData>
    <row r="1" spans="1:9" x14ac:dyDescent="0.2">
      <c r="A1" s="193" t="s">
        <v>216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93" t="s">
        <v>223</v>
      </c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9" ht="27" customHeight="1" x14ac:dyDescent="0.2">
      <c r="A4" s="225" t="s">
        <v>224</v>
      </c>
      <c r="B4" s="129">
        <v>1</v>
      </c>
      <c r="C4" s="129">
        <v>2</v>
      </c>
      <c r="D4" s="129">
        <v>3</v>
      </c>
      <c r="E4" s="129">
        <v>4</v>
      </c>
      <c r="F4" s="129">
        <v>5</v>
      </c>
      <c r="G4" s="129">
        <v>6</v>
      </c>
      <c r="H4" s="129">
        <v>7</v>
      </c>
      <c r="I4" s="19"/>
    </row>
    <row r="5" spans="1:9" x14ac:dyDescent="0.2">
      <c r="A5" s="129" t="s">
        <v>172</v>
      </c>
      <c r="B5" s="147">
        <v>3.1E-2</v>
      </c>
      <c r="C5" s="148">
        <v>3.2000000000000001E-2</v>
      </c>
      <c r="D5" s="148">
        <v>3.3000000000000002E-2</v>
      </c>
      <c r="E5" s="148">
        <v>3.4000000000000002E-2</v>
      </c>
      <c r="F5" s="148">
        <v>3.5000000000000003E-2</v>
      </c>
      <c r="G5" s="109">
        <v>3.5999999999999997E-2</v>
      </c>
      <c r="H5" s="148">
        <v>3.7000000000000005E-2</v>
      </c>
      <c r="I5" s="19"/>
    </row>
    <row r="6" spans="1:9" x14ac:dyDescent="0.2">
      <c r="A6" s="153" t="s">
        <v>173</v>
      </c>
      <c r="B6" s="37"/>
      <c r="C6" s="37"/>
      <c r="D6" s="37"/>
      <c r="E6" s="37"/>
      <c r="F6" s="37"/>
      <c r="G6" s="219"/>
      <c r="H6" s="219"/>
      <c r="I6" s="19"/>
    </row>
    <row r="7" spans="1:9" x14ac:dyDescent="0.2">
      <c r="A7" s="154" t="s">
        <v>117</v>
      </c>
      <c r="B7" s="38">
        <f t="shared" ref="B7:H7" si="0">1/(1+B5*B4/12)</f>
        <v>0.99742332308203807</v>
      </c>
      <c r="C7" s="38">
        <f t="shared" si="0"/>
        <v>0.9946949602122015</v>
      </c>
      <c r="D7" s="38">
        <f t="shared" si="0"/>
        <v>0.99181750557897341</v>
      </c>
      <c r="E7" s="38">
        <f t="shared" si="0"/>
        <v>0.98879367172050092</v>
      </c>
      <c r="F7" s="38">
        <f t="shared" si="0"/>
        <v>0.98562628336755642</v>
      </c>
      <c r="G7" s="38">
        <f t="shared" si="0"/>
        <v>0.98231827111984282</v>
      </c>
      <c r="H7" s="38">
        <f t="shared" si="0"/>
        <v>0.97887266498083048</v>
      </c>
      <c r="I7" s="19"/>
    </row>
    <row r="8" spans="1:9" x14ac:dyDescent="0.2">
      <c r="A8" s="226"/>
      <c r="B8" s="29"/>
      <c r="C8" s="29"/>
      <c r="D8" s="29"/>
      <c r="E8" s="29"/>
      <c r="F8" s="29"/>
      <c r="G8" s="29"/>
      <c r="H8" s="29"/>
      <c r="I8" s="19"/>
    </row>
    <row r="9" spans="1:9" x14ac:dyDescent="0.2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">
      <c r="A10" s="220" t="s">
        <v>220</v>
      </c>
      <c r="B10" s="19"/>
      <c r="C10" s="19"/>
      <c r="D10" s="19"/>
      <c r="E10" s="19"/>
      <c r="F10" s="19"/>
      <c r="G10" s="19"/>
      <c r="H10" s="19"/>
      <c r="I10" s="19"/>
    </row>
    <row r="11" spans="1:9" ht="24.75" customHeight="1" x14ac:dyDescent="0.2">
      <c r="A11" s="149" t="s">
        <v>174</v>
      </c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9"/>
    </row>
    <row r="12" spans="1:9" x14ac:dyDescent="0.2">
      <c r="A12" s="129">
        <v>0</v>
      </c>
      <c r="B12" s="66">
        <f t="shared" ref="B12:H12" si="1">B5</f>
        <v>3.1E-2</v>
      </c>
      <c r="C12" s="66">
        <f t="shared" si="1"/>
        <v>3.2000000000000001E-2</v>
      </c>
      <c r="D12" s="66">
        <f t="shared" si="1"/>
        <v>3.3000000000000002E-2</v>
      </c>
      <c r="E12" s="66">
        <f t="shared" si="1"/>
        <v>3.4000000000000002E-2</v>
      </c>
      <c r="F12" s="66">
        <f t="shared" si="1"/>
        <v>3.5000000000000003E-2</v>
      </c>
      <c r="G12" s="66">
        <f t="shared" si="1"/>
        <v>3.5999999999999997E-2</v>
      </c>
      <c r="H12" s="66">
        <f t="shared" si="1"/>
        <v>3.7000000000000005E-2</v>
      </c>
      <c r="I12" s="19"/>
    </row>
    <row r="13" spans="1:9" x14ac:dyDescent="0.2">
      <c r="A13" s="129">
        <v>1</v>
      </c>
      <c r="B13" s="66"/>
      <c r="C13" s="221">
        <f t="shared" ref="C13:H13" si="2">((1+C$11/12*C$12)/(1+$B$11*$B$12/12)-1)*12/(C$11-$B$11)</f>
        <v>3.2914969661707261E-2</v>
      </c>
      <c r="D13" s="221">
        <f t="shared" si="2"/>
        <v>3.3912392984789985E-2</v>
      </c>
      <c r="E13" s="221">
        <f t="shared" si="2"/>
        <v>3.4909816307871822E-2</v>
      </c>
      <c r="F13" s="221">
        <f t="shared" si="2"/>
        <v>3.5907239630953436E-2</v>
      </c>
      <c r="G13" s="221">
        <f t="shared" si="2"/>
        <v>3.6904662954035494E-2</v>
      </c>
      <c r="H13" s="221">
        <f t="shared" si="2"/>
        <v>3.7902086277117331E-2</v>
      </c>
      <c r="I13" s="19"/>
    </row>
    <row r="14" spans="1:9" x14ac:dyDescent="0.2">
      <c r="A14" s="129">
        <v>2</v>
      </c>
      <c r="B14" s="66"/>
      <c r="C14" s="66"/>
      <c r="D14" s="221">
        <f>((1+D$11/12*D$12)/(1+$C$11*$C$12/12)-1)*12/(D$11-$C$11)</f>
        <v>3.4814323607426978E-2</v>
      </c>
      <c r="E14" s="221">
        <f>((1+E$11/12*E$12)/(1+$C$11*$C$12/12)-1)*12/(E$11-$C$11)</f>
        <v>3.5809018567639406E-2</v>
      </c>
      <c r="F14" s="221">
        <f>((1+F$11/12*F$12)/(1+$C$11*$C$12/12)-1)*12/(F$11-$C$11)</f>
        <v>3.6803713527850945E-2</v>
      </c>
      <c r="G14" s="221">
        <f>((1+G$11/12*G$12)/(1+$C$11*$C$12/12)-1)*12/(G$11-$C$11)</f>
        <v>3.7798408488063595E-2</v>
      </c>
      <c r="H14" s="221">
        <f>((1+H$11/12*H$12)/(1+$C$11*$C$12/12)-1)*12/(H$11-$C$11)</f>
        <v>3.879310344827562E-2</v>
      </c>
      <c r="I14" s="19"/>
    </row>
    <row r="15" spans="1:9" x14ac:dyDescent="0.2">
      <c r="A15" s="129">
        <v>3</v>
      </c>
      <c r="B15" s="66"/>
      <c r="C15" s="66"/>
      <c r="D15" s="66"/>
      <c r="E15" s="221">
        <f>((1+E$11/12*E$12)/(1+$D$11*$D$12/12)-1)*12/(E$11-$D$11)</f>
        <v>3.669724770642091E-2</v>
      </c>
      <c r="F15" s="221">
        <f>((1+F$11/12*F$12)/(1+$D$11*$D$12/12)-1)*12/(F$11-$D$11)</f>
        <v>3.7689065212001438E-2</v>
      </c>
      <c r="G15" s="221">
        <f>((1+G$11/12*G$12)/(1+$D$11*$D$12/12)-1)*12/(G$11-$D$11)</f>
        <v>3.8680882717579301E-2</v>
      </c>
      <c r="H15" s="221">
        <f>((1+H$11/12*H$12)/(1+$D$11*$D$12/12)-1)*12/(H$11-$D$11)</f>
        <v>3.9672700223158497E-2</v>
      </c>
      <c r="I15" s="19"/>
    </row>
    <row r="16" spans="1:9" x14ac:dyDescent="0.2">
      <c r="A16" s="129">
        <v>4</v>
      </c>
      <c r="B16" s="66"/>
      <c r="C16" s="66"/>
      <c r="D16" s="66"/>
      <c r="E16" s="66"/>
      <c r="F16" s="221">
        <f>((1+F$11/12*F$12)/(1+$E$11*$E$12/12)-1)*12/(F$11-$E$11)</f>
        <v>3.8562953197099681E-2</v>
      </c>
      <c r="G16" s="221">
        <f>((1+G$11/12*G$12)/(1+$E$11*$E$12/12)-1)*12/(G$11-$E$11)</f>
        <v>3.9551746868819571E-2</v>
      </c>
      <c r="H16" s="221">
        <f>((1+H$11/12*H$12)/(1+$E$11*$E$12/12)-1)*12/(H$11-$E$11)</f>
        <v>4.0540540540540349E-2</v>
      </c>
      <c r="I16" s="19"/>
    </row>
    <row r="17" spans="1:9" x14ac:dyDescent="0.2">
      <c r="A17" s="129">
        <v>5</v>
      </c>
      <c r="B17" s="66"/>
      <c r="C17" s="66"/>
      <c r="D17" s="66"/>
      <c r="E17" s="66"/>
      <c r="F17" s="221"/>
      <c r="G17" s="221">
        <f>((1+G$11/12*G$12)/(1+$F$11*$F$12/12)-1)*12/(G$11-$F$11)</f>
        <v>4.0410677618070601E-2</v>
      </c>
      <c r="H17" s="221">
        <f>((1+H$11/12*H$12)/(1+$F$11*$F$12/12)-1)*12/(H$11-$F$11)</f>
        <v>4.1396303901436227E-2</v>
      </c>
      <c r="I17" s="19"/>
    </row>
    <row r="18" spans="1:9" x14ac:dyDescent="0.2">
      <c r="A18" s="129">
        <v>6</v>
      </c>
      <c r="B18" s="66"/>
      <c r="C18" s="66"/>
      <c r="D18" s="66"/>
      <c r="E18" s="66"/>
      <c r="F18" s="221"/>
      <c r="G18" s="221"/>
      <c r="H18" s="221">
        <f>((1+H$11/12*H$12)/(1+$G$11*$G$12/12)-1)*12/(H$11-$G$11)</f>
        <v>4.2239685658153725E-2</v>
      </c>
      <c r="I18" s="19"/>
    </row>
    <row r="19" spans="1:9" x14ac:dyDescent="0.2">
      <c r="A19" s="222"/>
      <c r="B19" s="223"/>
      <c r="C19" s="223"/>
      <c r="D19" s="223"/>
      <c r="E19" s="223"/>
      <c r="F19" s="224"/>
      <c r="G19" s="19"/>
      <c r="H19" s="19"/>
      <c r="I19" s="19"/>
    </row>
    <row r="20" spans="1:9" x14ac:dyDescent="0.2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">
      <c r="A21" s="220" t="s">
        <v>221</v>
      </c>
      <c r="B21" s="19"/>
      <c r="C21" s="19"/>
      <c r="D21" s="19"/>
      <c r="E21" s="19"/>
      <c r="F21" s="19"/>
      <c r="G21" s="19"/>
      <c r="H21" s="19"/>
      <c r="I21" s="19"/>
    </row>
    <row r="22" spans="1:9" ht="24.75" customHeight="1" x14ac:dyDescent="0.2">
      <c r="A22" s="149" t="s">
        <v>222</v>
      </c>
      <c r="B22" s="18">
        <v>1</v>
      </c>
      <c r="C22" s="18">
        <v>2</v>
      </c>
      <c r="D22" s="18">
        <v>3</v>
      </c>
      <c r="E22" s="18">
        <v>4</v>
      </c>
      <c r="F22" s="18">
        <v>5</v>
      </c>
      <c r="G22" s="18">
        <v>6</v>
      </c>
      <c r="H22" s="18">
        <v>7</v>
      </c>
      <c r="I22" s="19"/>
    </row>
    <row r="23" spans="1:9" x14ac:dyDescent="0.2">
      <c r="A23" s="129">
        <v>0</v>
      </c>
      <c r="B23" s="192">
        <f t="shared" ref="B23:H23" si="3">1/(1+B12*B11/12)</f>
        <v>0.99742332308203807</v>
      </c>
      <c r="C23" s="192">
        <f t="shared" si="3"/>
        <v>0.9946949602122015</v>
      </c>
      <c r="D23" s="192">
        <f t="shared" si="3"/>
        <v>0.99181750557897341</v>
      </c>
      <c r="E23" s="192">
        <f t="shared" si="3"/>
        <v>0.98879367172050092</v>
      </c>
      <c r="F23" s="192">
        <f t="shared" si="3"/>
        <v>0.98562628336755642</v>
      </c>
      <c r="G23" s="192">
        <f t="shared" si="3"/>
        <v>0.98231827111984282</v>
      </c>
      <c r="H23" s="192">
        <f t="shared" si="3"/>
        <v>0.97887266498083048</v>
      </c>
      <c r="I23" s="19"/>
    </row>
    <row r="24" spans="1:9" x14ac:dyDescent="0.2">
      <c r="A24" s="129">
        <v>1</v>
      </c>
      <c r="B24" s="192"/>
      <c r="C24" s="192">
        <f t="shared" ref="C24:H24" si="4">1/(1+(C22-$A$24)*C13/12)</f>
        <v>0.99726458885941649</v>
      </c>
      <c r="D24" s="192">
        <f t="shared" si="4"/>
        <v>0.994379700801719</v>
      </c>
      <c r="E24" s="192">
        <f t="shared" si="4"/>
        <v>0.99134805537244552</v>
      </c>
      <c r="F24" s="192">
        <f t="shared" si="4"/>
        <v>0.98817248459958928</v>
      </c>
      <c r="G24" s="192">
        <f t="shared" si="4"/>
        <v>0.98485592665356902</v>
      </c>
      <c r="H24" s="192">
        <f t="shared" si="4"/>
        <v>0.98140141936536429</v>
      </c>
      <c r="I24" s="19"/>
    </row>
    <row r="25" spans="1:9" x14ac:dyDescent="0.2">
      <c r="A25" s="129">
        <v>2</v>
      </c>
      <c r="B25" s="192"/>
      <c r="C25" s="192"/>
      <c r="D25" s="192">
        <f>D23/$C$23</f>
        <v>0.99710719894206135</v>
      </c>
      <c r="E25" s="192">
        <f>E23/$C$23</f>
        <v>0.994067237969677</v>
      </c>
      <c r="F25" s="192">
        <f>F23/$C$23</f>
        <v>0.9908829568788502</v>
      </c>
      <c r="G25" s="19"/>
      <c r="H25" s="19"/>
      <c r="I25" s="19"/>
    </row>
    <row r="26" spans="1:9" x14ac:dyDescent="0.2">
      <c r="A26" s="129">
        <v>3</v>
      </c>
      <c r="B26" s="192"/>
      <c r="C26" s="192"/>
      <c r="D26" s="192"/>
      <c r="E26" s="192">
        <f>E23/$D$23</f>
        <v>0.99695121951219512</v>
      </c>
      <c r="F26" s="192">
        <f>F23/$D$23</f>
        <v>0.99375770020533882</v>
      </c>
      <c r="G26" s="19"/>
      <c r="H26" s="19"/>
      <c r="I26" s="19"/>
    </row>
    <row r="27" spans="1:9" x14ac:dyDescent="0.2">
      <c r="A27" s="129">
        <v>4</v>
      </c>
      <c r="B27" s="192"/>
      <c r="C27" s="192"/>
      <c r="D27" s="192"/>
      <c r="E27" s="192"/>
      <c r="F27" s="192">
        <f>F23/E23</f>
        <v>0.9967967145790555</v>
      </c>
      <c r="G27" s="19"/>
      <c r="H27" s="19"/>
      <c r="I27" s="19"/>
    </row>
    <row r="28" spans="1:9" x14ac:dyDescent="0.2">
      <c r="A28" s="129">
        <v>5</v>
      </c>
      <c r="B28" s="19"/>
      <c r="C28" s="19"/>
      <c r="D28" s="19"/>
      <c r="E28" s="19"/>
      <c r="F28" s="19"/>
      <c r="G28" s="19"/>
      <c r="H28" s="19"/>
      <c r="I28" s="19"/>
    </row>
    <row r="29" spans="1:9" x14ac:dyDescent="0.2">
      <c r="A29" s="129">
        <v>6</v>
      </c>
      <c r="B29" s="19"/>
      <c r="C29" s="19"/>
      <c r="D29" s="19"/>
      <c r="E29" s="19"/>
      <c r="F29" s="19"/>
      <c r="G29" s="19"/>
      <c r="H29" s="19"/>
      <c r="I29" s="19"/>
    </row>
    <row r="30" spans="1:9" x14ac:dyDescent="0.2">
      <c r="A30" s="19"/>
      <c r="B30" s="19"/>
      <c r="C30" s="19"/>
      <c r="D30" s="19"/>
      <c r="E30" s="19"/>
      <c r="F30" s="19"/>
      <c r="G30" s="19"/>
      <c r="H30" s="19"/>
      <c r="I30" s="1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8</xdr:col>
                <xdr:colOff>333375</xdr:colOff>
                <xdr:row>9</xdr:row>
                <xdr:rowOff>142875</xdr:rowOff>
              </from>
              <to>
                <xdr:col>10</xdr:col>
                <xdr:colOff>285750</xdr:colOff>
                <xdr:row>12</xdr:row>
                <xdr:rowOff>47625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3" sqref="A3"/>
    </sheetView>
  </sheetViews>
  <sheetFormatPr baseColWidth="10" defaultRowHeight="12.75" x14ac:dyDescent="0.2"/>
  <sheetData>
    <row r="1" spans="1:5" x14ac:dyDescent="0.2">
      <c r="A1" s="19"/>
      <c r="B1" s="19"/>
      <c r="C1" s="19"/>
      <c r="D1" s="19"/>
      <c r="E1" s="19"/>
    </row>
    <row r="2" spans="1:5" x14ac:dyDescent="0.2">
      <c r="A2" s="19" t="s">
        <v>248</v>
      </c>
      <c r="B2" s="19"/>
      <c r="C2" s="19"/>
      <c r="D2" s="19"/>
      <c r="E2" s="19"/>
    </row>
    <row r="3" spans="1:5" x14ac:dyDescent="0.2">
      <c r="A3" s="19"/>
      <c r="B3" s="19"/>
      <c r="C3" s="19"/>
      <c r="D3" s="19"/>
      <c r="E3" s="19"/>
    </row>
    <row r="4" spans="1:5" x14ac:dyDescent="0.2">
      <c r="A4" s="19"/>
      <c r="B4" s="19"/>
      <c r="C4" s="19"/>
      <c r="D4" s="19"/>
      <c r="E4" s="19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N38"/>
  <sheetViews>
    <sheetView showGridLines="0" workbookViewId="0">
      <selection activeCell="A5" sqref="A5"/>
    </sheetView>
  </sheetViews>
  <sheetFormatPr baseColWidth="10" defaultRowHeight="12.75" x14ac:dyDescent="0.2"/>
  <cols>
    <col min="1" max="1" width="13.5703125" customWidth="1"/>
    <col min="2" max="2" width="14.42578125" customWidth="1"/>
    <col min="3" max="3" width="14.28515625" customWidth="1"/>
    <col min="4" max="4" width="4.5703125" customWidth="1"/>
    <col min="5" max="5" width="10.5703125" customWidth="1"/>
    <col min="11" max="11" width="13.5703125" customWidth="1"/>
    <col min="14" max="14" width="14.85546875" customWidth="1"/>
  </cols>
  <sheetData>
    <row r="1" spans="1:14" x14ac:dyDescent="0.2">
      <c r="A1" s="279" t="s">
        <v>0</v>
      </c>
      <c r="B1" s="280"/>
      <c r="C1" s="280"/>
      <c r="D1" s="280"/>
      <c r="E1" s="280"/>
      <c r="F1" s="280"/>
      <c r="H1" s="197" t="s">
        <v>245</v>
      </c>
      <c r="I1" s="22"/>
      <c r="J1" s="23"/>
      <c r="K1" s="22"/>
      <c r="L1" s="22"/>
      <c r="M1" s="22"/>
      <c r="N1" s="23"/>
    </row>
    <row r="2" spans="1:14" x14ac:dyDescent="0.2">
      <c r="A2" s="281" t="s">
        <v>1</v>
      </c>
      <c r="B2" s="290">
        <v>7.0000000000000007E-2</v>
      </c>
      <c r="C2" s="280"/>
      <c r="D2" s="280"/>
      <c r="E2" s="280"/>
      <c r="F2" s="280"/>
      <c r="H2" s="30" t="s">
        <v>35</v>
      </c>
      <c r="I2" s="31"/>
      <c r="J2" s="32"/>
      <c r="K2" s="29" t="s">
        <v>244</v>
      </c>
      <c r="L2" s="29"/>
      <c r="M2" s="29"/>
      <c r="N2" s="26" t="s">
        <v>15</v>
      </c>
    </row>
    <row r="3" spans="1:14" x14ac:dyDescent="0.2">
      <c r="A3" s="280"/>
      <c r="B3" s="280"/>
      <c r="C3" s="280"/>
      <c r="D3" s="280"/>
      <c r="E3" s="280"/>
      <c r="F3" s="280"/>
      <c r="H3" s="28" t="s">
        <v>36</v>
      </c>
      <c r="I3" s="249">
        <v>0</v>
      </c>
      <c r="J3" s="29"/>
      <c r="K3" s="126" t="s">
        <v>37</v>
      </c>
      <c r="L3" s="126" t="s">
        <v>38</v>
      </c>
      <c r="M3" s="29"/>
      <c r="N3" s="237" t="s">
        <v>37</v>
      </c>
    </row>
    <row r="4" spans="1:14" x14ac:dyDescent="0.2">
      <c r="A4" s="280"/>
      <c r="B4" s="281" t="s">
        <v>3</v>
      </c>
      <c r="C4" s="281" t="s">
        <v>23</v>
      </c>
      <c r="D4" s="280"/>
      <c r="E4" s="280"/>
      <c r="F4" s="280"/>
      <c r="H4" s="28"/>
      <c r="I4" s="249">
        <v>0.5</v>
      </c>
      <c r="J4" s="29"/>
      <c r="K4" s="238">
        <f>I3</f>
        <v>0</v>
      </c>
      <c r="L4" s="42">
        <f>(NPV(K4,$B$6:$B$15)+$B$5-NPV(K4,$C$6:$C$15)-$C$5)*(1+K4)^$B$18</f>
        <v>-897.60000000000036</v>
      </c>
      <c r="M4" s="29"/>
      <c r="N4" s="239">
        <f>I3</f>
        <v>0</v>
      </c>
    </row>
    <row r="5" spans="1:14" x14ac:dyDescent="0.2">
      <c r="A5" s="281" t="s">
        <v>4</v>
      </c>
      <c r="B5" s="291">
        <v>3600</v>
      </c>
      <c r="C5" s="291">
        <v>0</v>
      </c>
      <c r="D5" s="280"/>
      <c r="E5" s="280"/>
      <c r="F5" s="280"/>
      <c r="H5" s="28"/>
      <c r="I5" s="29"/>
      <c r="J5" s="29"/>
      <c r="K5" s="238">
        <f>I4</f>
        <v>0.5</v>
      </c>
      <c r="L5" s="42">
        <f>(NPV(K5,$B$6:$B$15)+$B$5-NPV(K5,$C$6:$C$15)-$C$5)*(1+K5)^$B$18</f>
        <v>5902.4000000000005</v>
      </c>
      <c r="M5" s="29"/>
      <c r="N5" s="240">
        <f>N4-((NPV(N4,$B$6:$B$15)+$B$5-NPV(N4,$C$6:$C$15)-$C$5)*(1+N4)^10)/(($B$5-$C$5)*10*(1+N4)^9+9*($B$6-$C$6)*(1+N4)^8+8*($B$7-$C$7)*(1+N4)^7+7*($B$8-$C$8)*(1+N4)^6+6*($B$9-$C$9)*(1+N4)^5+5*($B$10-$C$10)*(1+N4)^4+4*($B$11-$C$11)*(1+N4)^3+3*($B$12-$C$12)*(1+N4)^2+2*($B$13-$C$13*(1+N4))+($B$14-$C$14))</f>
        <v>0.52283317800559226</v>
      </c>
    </row>
    <row r="6" spans="1:14" x14ac:dyDescent="0.2">
      <c r="A6" s="281" t="s">
        <v>5</v>
      </c>
      <c r="B6" s="291">
        <v>0</v>
      </c>
      <c r="C6" s="291">
        <v>1400</v>
      </c>
      <c r="D6" s="280"/>
      <c r="E6" s="280"/>
      <c r="F6" s="280"/>
      <c r="H6" s="28"/>
      <c r="I6" s="29"/>
      <c r="J6" s="29"/>
      <c r="K6" s="238">
        <f>IF(ABS(L5-L4)&lt;0.000000000001,K5,K5+(K4-K5)*L5/(L5-L4))</f>
        <v>6.6000000000000003E-2</v>
      </c>
      <c r="L6" s="42">
        <f t="shared" ref="L6:L21" si="0">(NPV(K6,$B$6:$B$15)+$B$5-NPV(K6,$C$6:$C$15)-$C$5)*(1+K6)^$B$18</f>
        <v>-327.61861440000001</v>
      </c>
      <c r="M6" s="29"/>
      <c r="N6" s="240">
        <f t="shared" ref="N6:N21" si="1">N5-((NPV(N5,$B$6:$B$15)+$B$5-NPV(N5,$C$6:$C$15)-$C$5)*(1+N5)^10)/(($B$5-$C$5)*10*(1+N5)^9+9*($B$6-$C$6)*(1+N5)^8+8*($B$7-$C$7)*(1+N5)^7+7*($B$8-$C$8)*(1+N5)^6+6*($B$9-$C$9)*(1+N5)^5+5*($B$10-$C$10)*(1+N5)^4+4*($B$11-$C$11)*(1+N5)^3+3*($B$12-$C$12)*(1+N5)^2+2*($B$13-$C$13*(1+N5))+($B$14-$C$14))</f>
        <v>0.39559949538985584</v>
      </c>
    </row>
    <row r="7" spans="1:14" x14ac:dyDescent="0.2">
      <c r="A7" s="281" t="s">
        <v>6</v>
      </c>
      <c r="B7" s="291">
        <v>0</v>
      </c>
      <c r="C7" s="291">
        <v>0</v>
      </c>
      <c r="D7" s="280"/>
      <c r="E7" s="280"/>
      <c r="F7" s="280"/>
      <c r="H7" s="28"/>
      <c r="I7" s="29"/>
      <c r="J7" s="29"/>
      <c r="K7" s="238">
        <f t="shared" ref="K7:K21" si="2">IF(ABS(L6-L5)&lt;0.000000000001,K6,K6+(K5-K6)*L6/(L6-L5))</f>
        <v>8.8822801575737131E-2</v>
      </c>
      <c r="L7" s="42">
        <f t="shared" si="0"/>
        <v>-110.33362084153448</v>
      </c>
      <c r="M7" s="29"/>
      <c r="N7" s="240">
        <f t="shared" si="1"/>
        <v>0.2885286327575346</v>
      </c>
    </row>
    <row r="8" spans="1:14" x14ac:dyDescent="0.2">
      <c r="A8" s="281" t="s">
        <v>7</v>
      </c>
      <c r="B8" s="291">
        <v>0</v>
      </c>
      <c r="C8" s="291">
        <v>3097.6</v>
      </c>
      <c r="D8" s="280"/>
      <c r="E8" s="280"/>
      <c r="F8" s="280"/>
      <c r="H8" s="28"/>
      <c r="I8" s="29"/>
      <c r="J8" s="29"/>
      <c r="K8" s="238">
        <f t="shared" si="2"/>
        <v>0.10041183169861764</v>
      </c>
      <c r="L8" s="42">
        <f t="shared" si="0"/>
        <v>4.1151527212952628</v>
      </c>
      <c r="M8" s="29"/>
      <c r="N8" s="240">
        <f t="shared" si="1"/>
        <v>0.20317347569933419</v>
      </c>
    </row>
    <row r="9" spans="1:14" x14ac:dyDescent="0.2">
      <c r="A9" s="281" t="s">
        <v>8</v>
      </c>
      <c r="B9" s="291">
        <v>0</v>
      </c>
      <c r="C9" s="291">
        <v>0</v>
      </c>
      <c r="D9" s="280"/>
      <c r="E9" s="280"/>
      <c r="F9" s="280"/>
      <c r="H9" s="28"/>
      <c r="I9" s="29"/>
      <c r="J9" s="29"/>
      <c r="K9" s="238">
        <f t="shared" si="2"/>
        <v>9.9995133228527322E-2</v>
      </c>
      <c r="L9" s="42">
        <f t="shared" si="0"/>
        <v>-4.8609065244881469E-2</v>
      </c>
      <c r="M9" s="29"/>
      <c r="N9" s="240">
        <f t="shared" si="1"/>
        <v>0.14264349430373885</v>
      </c>
    </row>
    <row r="10" spans="1:14" x14ac:dyDescent="0.2">
      <c r="A10" s="281" t="s">
        <v>9</v>
      </c>
      <c r="B10" s="291">
        <v>0</v>
      </c>
      <c r="C10" s="291">
        <v>0</v>
      </c>
      <c r="D10" s="280"/>
      <c r="E10" s="280"/>
      <c r="F10" s="280"/>
      <c r="H10" s="28"/>
      <c r="I10" s="29"/>
      <c r="J10" s="29"/>
      <c r="K10" s="238">
        <f t="shared" si="2"/>
        <v>9.9999997897583445E-2</v>
      </c>
      <c r="L10" s="42">
        <f t="shared" si="0"/>
        <v>-2.0998936962417481E-5</v>
      </c>
      <c r="M10" s="29"/>
      <c r="N10" s="240">
        <f t="shared" si="1"/>
        <v>0.10997387512531845</v>
      </c>
    </row>
    <row r="11" spans="1:14" x14ac:dyDescent="0.2">
      <c r="A11" s="281" t="s">
        <v>10</v>
      </c>
      <c r="B11" s="291">
        <v>0</v>
      </c>
      <c r="C11" s="291">
        <v>0</v>
      </c>
      <c r="D11" s="280"/>
      <c r="E11" s="280"/>
      <c r="F11" s="280"/>
      <c r="H11" s="28"/>
      <c r="I11" s="29"/>
      <c r="J11" s="29"/>
      <c r="K11" s="238">
        <f t="shared" si="2"/>
        <v>0.10000000000001079</v>
      </c>
      <c r="L11" s="42">
        <f t="shared" si="0"/>
        <v>1.0773783287732246E-10</v>
      </c>
      <c r="M11" s="29"/>
      <c r="N11" s="240">
        <f t="shared" si="1"/>
        <v>0.10068139163986833</v>
      </c>
    </row>
    <row r="12" spans="1:14" x14ac:dyDescent="0.2">
      <c r="A12" s="281" t="s">
        <v>11</v>
      </c>
      <c r="B12" s="291">
        <v>0</v>
      </c>
      <c r="C12" s="291">
        <v>0</v>
      </c>
      <c r="D12" s="280"/>
      <c r="E12" s="280"/>
      <c r="F12" s="280"/>
      <c r="H12" s="28"/>
      <c r="I12" s="29"/>
      <c r="J12" s="29"/>
      <c r="K12" s="238">
        <f t="shared" si="2"/>
        <v>0.1</v>
      </c>
      <c r="L12" s="42">
        <f t="shared" si="0"/>
        <v>1.2105374480597679E-12</v>
      </c>
      <c r="M12" s="29"/>
      <c r="N12" s="240">
        <f t="shared" si="1"/>
        <v>0.10000342254001837</v>
      </c>
    </row>
    <row r="13" spans="1:14" x14ac:dyDescent="0.2">
      <c r="A13" s="281" t="s">
        <v>12</v>
      </c>
      <c r="B13" s="291">
        <v>0</v>
      </c>
      <c r="C13" s="291">
        <v>0</v>
      </c>
      <c r="D13" s="280"/>
      <c r="E13" s="280"/>
      <c r="F13" s="280"/>
      <c r="H13" s="28"/>
      <c r="I13" s="29"/>
      <c r="J13" s="29"/>
      <c r="K13" s="238">
        <f t="shared" si="2"/>
        <v>9.9999999999999881E-2</v>
      </c>
      <c r="L13" s="42">
        <f t="shared" si="0"/>
        <v>-1.210537448059767E-12</v>
      </c>
      <c r="M13" s="29"/>
      <c r="N13" s="240">
        <f t="shared" si="1"/>
        <v>0.10000000008683059</v>
      </c>
    </row>
    <row r="14" spans="1:14" x14ac:dyDescent="0.2">
      <c r="A14" s="281" t="s">
        <v>13</v>
      </c>
      <c r="B14" s="291">
        <v>0</v>
      </c>
      <c r="C14" s="291">
        <v>0</v>
      </c>
      <c r="D14" s="280"/>
      <c r="E14" s="280"/>
      <c r="F14" s="280"/>
      <c r="H14" s="28"/>
      <c r="I14" s="29"/>
      <c r="J14" s="29"/>
      <c r="K14" s="238">
        <f t="shared" si="2"/>
        <v>9.999999999999995E-2</v>
      </c>
      <c r="L14" s="42">
        <f t="shared" si="0"/>
        <v>-1.210537448059767E-12</v>
      </c>
      <c r="M14" s="29"/>
      <c r="N14" s="240">
        <f t="shared" si="1"/>
        <v>9.9999999999999978E-2</v>
      </c>
    </row>
    <row r="15" spans="1:14" x14ac:dyDescent="0.2">
      <c r="A15" s="281" t="s">
        <v>14</v>
      </c>
      <c r="B15" s="291">
        <v>0</v>
      </c>
      <c r="C15" s="291">
        <v>0</v>
      </c>
      <c r="D15" s="280"/>
      <c r="E15" s="280"/>
      <c r="F15" s="280"/>
      <c r="H15" s="28"/>
      <c r="I15" s="29"/>
      <c r="J15" s="29"/>
      <c r="K15" s="238">
        <f t="shared" si="2"/>
        <v>9.999999999999995E-2</v>
      </c>
      <c r="L15" s="42">
        <f t="shared" si="0"/>
        <v>-1.210537448059767E-12</v>
      </c>
      <c r="M15" s="29"/>
      <c r="N15" s="240">
        <f t="shared" si="1"/>
        <v>9.9999999999999853E-2</v>
      </c>
    </row>
    <row r="16" spans="1:14" x14ac:dyDescent="0.2">
      <c r="A16" s="282" t="s">
        <v>27</v>
      </c>
      <c r="B16" s="283"/>
      <c r="C16" s="283"/>
      <c r="D16" s="280"/>
      <c r="E16" s="280"/>
      <c r="F16" s="280"/>
      <c r="H16" s="28"/>
      <c r="I16" s="29"/>
      <c r="J16" s="29"/>
      <c r="K16" s="238">
        <f t="shared" si="2"/>
        <v>9.999999999999995E-2</v>
      </c>
      <c r="L16" s="42">
        <f t="shared" si="0"/>
        <v>-1.210537448059767E-12</v>
      </c>
      <c r="M16" s="29"/>
      <c r="N16" s="240">
        <f t="shared" si="1"/>
        <v>9.9999999999999978E-2</v>
      </c>
    </row>
    <row r="17" spans="1:14" x14ac:dyDescent="0.2">
      <c r="A17" s="284" t="s">
        <v>16</v>
      </c>
      <c r="B17" s="285">
        <f>NPV($B$2,B6:B15)+B5</f>
        <v>3600</v>
      </c>
      <c r="C17" s="285">
        <f>NPV($B$2,C6:C15)+C5</f>
        <v>3836.9755184103742</v>
      </c>
      <c r="D17" s="280"/>
      <c r="E17" s="280"/>
      <c r="F17" s="280"/>
      <c r="H17" s="28"/>
      <c r="I17" s="29"/>
      <c r="J17" s="29"/>
      <c r="K17" s="238">
        <f t="shared" si="2"/>
        <v>9.999999999999995E-2</v>
      </c>
      <c r="L17" s="42">
        <f t="shared" si="0"/>
        <v>-1.210537448059767E-12</v>
      </c>
      <c r="M17" s="29"/>
      <c r="N17" s="240">
        <f t="shared" si="1"/>
        <v>9.9999999999999853E-2</v>
      </c>
    </row>
    <row r="18" spans="1:14" x14ac:dyDescent="0.2">
      <c r="A18" s="284" t="s">
        <v>17</v>
      </c>
      <c r="B18" s="292">
        <v>3</v>
      </c>
      <c r="C18" s="280" t="s">
        <v>18</v>
      </c>
      <c r="D18" s="280"/>
      <c r="E18" s="280"/>
      <c r="F18" s="280"/>
      <c r="H18" s="28"/>
      <c r="I18" s="29"/>
      <c r="J18" s="29"/>
      <c r="K18" s="238">
        <f t="shared" si="2"/>
        <v>9.999999999999995E-2</v>
      </c>
      <c r="L18" s="42">
        <f t="shared" si="0"/>
        <v>-1.210537448059767E-12</v>
      </c>
      <c r="M18" s="29"/>
      <c r="N18" s="240">
        <f t="shared" si="1"/>
        <v>9.9999999999999978E-2</v>
      </c>
    </row>
    <row r="19" spans="1:14" x14ac:dyDescent="0.2">
      <c r="A19" s="284" t="s">
        <v>19</v>
      </c>
      <c r="B19" s="285">
        <f>B17*(1+$B$2)^$B$18</f>
        <v>4410.1548000000003</v>
      </c>
      <c r="C19" s="285">
        <f>C17*(1+$B$2)^$B$18</f>
        <v>4700.46</v>
      </c>
      <c r="D19" s="280"/>
      <c r="E19" s="280"/>
      <c r="F19" s="280"/>
      <c r="H19" s="28"/>
      <c r="I19" s="29"/>
      <c r="J19" s="29"/>
      <c r="K19" s="238">
        <f t="shared" si="2"/>
        <v>9.999999999999995E-2</v>
      </c>
      <c r="L19" s="42">
        <f t="shared" si="0"/>
        <v>-1.210537448059767E-12</v>
      </c>
      <c r="M19" s="29"/>
      <c r="N19" s="240">
        <f t="shared" si="1"/>
        <v>9.9999999999999853E-2</v>
      </c>
    </row>
    <row r="20" spans="1:14" x14ac:dyDescent="0.2">
      <c r="A20" s="286" t="str">
        <f>IF(B19=C19,"Beide Zahlungsströme 1 und 2 sind äquivalent.","Die Zahlungsfolgen 1 und 2 sind nicht äquivalent.")</f>
        <v>Die Zahlungsfolgen 1 und 2 sind nicht äquivalent.</v>
      </c>
      <c r="B20" s="287"/>
      <c r="C20" s="287"/>
      <c r="D20" s="280"/>
      <c r="E20" s="280"/>
      <c r="F20" s="280"/>
      <c r="H20" s="28"/>
      <c r="I20" s="29"/>
      <c r="J20" s="29"/>
      <c r="K20" s="238">
        <f t="shared" si="2"/>
        <v>9.999999999999995E-2</v>
      </c>
      <c r="L20" s="42">
        <f t="shared" si="0"/>
        <v>-1.210537448059767E-12</v>
      </c>
      <c r="M20" s="29"/>
      <c r="N20" s="240">
        <f t="shared" si="1"/>
        <v>9.9999999999999978E-2</v>
      </c>
    </row>
    <row r="21" spans="1:14" x14ac:dyDescent="0.2">
      <c r="A21" s="288" t="s">
        <v>39</v>
      </c>
      <c r="B21" s="287"/>
      <c r="C21" s="287"/>
      <c r="D21" s="280"/>
      <c r="E21" s="289">
        <f>K21</f>
        <v>9.999999999999995E-2</v>
      </c>
      <c r="F21" s="280"/>
      <c r="H21" s="30"/>
      <c r="I21" s="31"/>
      <c r="J21" s="31"/>
      <c r="K21" s="241">
        <f t="shared" si="2"/>
        <v>9.999999999999995E-2</v>
      </c>
      <c r="L21" s="236">
        <f t="shared" si="0"/>
        <v>-1.210537448059767E-12</v>
      </c>
      <c r="M21" s="31"/>
      <c r="N21" s="242">
        <f t="shared" si="1"/>
        <v>9.9999999999999853E-2</v>
      </c>
    </row>
    <row r="22" spans="1:14" x14ac:dyDescent="0.2">
      <c r="A22" s="280"/>
      <c r="B22" s="280"/>
      <c r="C22" s="280"/>
      <c r="D22" s="280"/>
      <c r="E22" s="280"/>
      <c r="F22" s="280"/>
    </row>
    <row r="26" spans="1:14" x14ac:dyDescent="0.2">
      <c r="A26" s="19" t="s">
        <v>243</v>
      </c>
      <c r="B26" s="19"/>
      <c r="C26" s="19"/>
      <c r="D26" s="19"/>
      <c r="E26" s="19"/>
      <c r="F26" s="19"/>
    </row>
    <row r="27" spans="1:14" x14ac:dyDescent="0.2">
      <c r="A27" s="19"/>
      <c r="B27" s="19"/>
      <c r="C27" s="19"/>
      <c r="D27" s="19"/>
      <c r="E27" s="19"/>
      <c r="F27" s="19"/>
    </row>
    <row r="28" spans="1:14" x14ac:dyDescent="0.2">
      <c r="A28" s="18" t="s">
        <v>242</v>
      </c>
      <c r="B28" s="33">
        <v>0</v>
      </c>
      <c r="C28" s="19"/>
      <c r="D28" s="19"/>
      <c r="E28" s="19"/>
      <c r="F28" s="19"/>
    </row>
    <row r="29" spans="1:14" x14ac:dyDescent="0.2">
      <c r="A29" s="18" t="s">
        <v>233</v>
      </c>
      <c r="B29" s="18">
        <f>B28-(3600*(1+B28)^3-1400*(1+B28)^2-3097.6)/(10800*(1+B28)^2-2800*(1+B28))</f>
        <v>0.11219999999999999</v>
      </c>
      <c r="C29" s="19"/>
      <c r="D29" s="19"/>
      <c r="E29" s="19"/>
      <c r="F29" s="19"/>
    </row>
    <row r="30" spans="1:14" x14ac:dyDescent="0.2">
      <c r="A30" s="18" t="s">
        <v>234</v>
      </c>
      <c r="B30" s="250">
        <f t="shared" ref="B30:B37" si="3">B29-(3600*(1+B29)^3-1400*(1+B29)^2-3097.6)/(10800*(1+B29)^2-2800*(1+B29))</f>
        <v>0.10015352545227098</v>
      </c>
      <c r="C30" s="19"/>
      <c r="D30" s="19"/>
      <c r="E30" s="19"/>
      <c r="F30" s="19"/>
    </row>
    <row r="31" spans="1:14" x14ac:dyDescent="0.2">
      <c r="A31" s="18" t="s">
        <v>235</v>
      </c>
      <c r="B31" s="18">
        <f t="shared" si="3"/>
        <v>0.10000002472574671</v>
      </c>
      <c r="C31" s="19"/>
      <c r="D31" s="19"/>
      <c r="E31" s="19"/>
      <c r="F31" s="19"/>
    </row>
    <row r="32" spans="1:14" x14ac:dyDescent="0.2">
      <c r="A32" s="18" t="s">
        <v>236</v>
      </c>
      <c r="B32" s="18">
        <f t="shared" si="3"/>
        <v>0.1000000000000007</v>
      </c>
      <c r="C32" s="19"/>
      <c r="D32" s="19"/>
      <c r="E32" s="19"/>
      <c r="F32" s="19"/>
    </row>
    <row r="33" spans="1:6" x14ac:dyDescent="0.2">
      <c r="A33" s="18" t="s">
        <v>237</v>
      </c>
      <c r="B33" s="18">
        <f t="shared" si="3"/>
        <v>9.9999999999999922E-2</v>
      </c>
      <c r="C33" s="19"/>
      <c r="D33" s="19"/>
      <c r="E33" s="19"/>
      <c r="F33" s="19"/>
    </row>
    <row r="34" spans="1:6" x14ac:dyDescent="0.2">
      <c r="A34" s="18" t="s">
        <v>238</v>
      </c>
      <c r="B34" s="18">
        <f t="shared" si="3"/>
        <v>0.10000000000000002</v>
      </c>
      <c r="C34" s="19"/>
      <c r="D34" s="19"/>
      <c r="E34" s="19"/>
      <c r="F34" s="19"/>
    </row>
    <row r="35" spans="1:6" x14ac:dyDescent="0.2">
      <c r="A35" s="18" t="s">
        <v>239</v>
      </c>
      <c r="B35" s="18">
        <f t="shared" si="3"/>
        <v>9.9999999999999881E-2</v>
      </c>
      <c r="C35" s="19"/>
      <c r="D35" s="19"/>
      <c r="E35" s="19"/>
      <c r="F35" s="19"/>
    </row>
    <row r="36" spans="1:6" x14ac:dyDescent="0.2">
      <c r="A36" s="18" t="s">
        <v>240</v>
      </c>
      <c r="B36" s="18">
        <f t="shared" si="3"/>
        <v>9.9999999999999978E-2</v>
      </c>
      <c r="C36" s="19"/>
      <c r="D36" s="19"/>
      <c r="E36" s="19"/>
      <c r="F36" s="19"/>
    </row>
    <row r="37" spans="1:6" x14ac:dyDescent="0.2">
      <c r="A37" s="18" t="s">
        <v>241</v>
      </c>
      <c r="B37" s="18">
        <f t="shared" si="3"/>
        <v>9.9999999999999839E-2</v>
      </c>
      <c r="C37" s="19"/>
      <c r="D37" s="19"/>
      <c r="E37" s="19"/>
      <c r="F37" s="19"/>
    </row>
    <row r="38" spans="1:6" x14ac:dyDescent="0.2">
      <c r="A38" s="19"/>
      <c r="B38" s="19"/>
      <c r="C38" s="19"/>
      <c r="D38" s="19"/>
      <c r="E38" s="19"/>
      <c r="F38" s="19"/>
    </row>
  </sheetData>
  <phoneticPr fontId="3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8"/>
  <sheetViews>
    <sheetView workbookViewId="0">
      <selection activeCell="B7" sqref="B7"/>
    </sheetView>
  </sheetViews>
  <sheetFormatPr baseColWidth="10" defaultRowHeight="12.75" x14ac:dyDescent="0.2"/>
  <cols>
    <col min="1" max="1" width="10.140625" customWidth="1"/>
    <col min="2" max="2" width="18.28515625" customWidth="1"/>
    <col min="3" max="3" width="4.140625" customWidth="1"/>
    <col min="4" max="4" width="16" customWidth="1"/>
  </cols>
  <sheetData>
    <row r="1" spans="1:5" x14ac:dyDescent="0.2">
      <c r="A1" s="39" t="s">
        <v>40</v>
      </c>
      <c r="B1" s="19"/>
      <c r="C1" s="19"/>
      <c r="D1" s="19"/>
      <c r="E1" s="19"/>
    </row>
    <row r="2" spans="1:5" x14ac:dyDescent="0.2">
      <c r="A2" s="19"/>
      <c r="B2" s="19"/>
      <c r="C2" s="19"/>
      <c r="D2" s="19"/>
      <c r="E2" s="19"/>
    </row>
    <row r="3" spans="1:5" x14ac:dyDescent="0.2">
      <c r="A3" s="44" t="s">
        <v>41</v>
      </c>
      <c r="B3" s="44" t="s">
        <v>42</v>
      </c>
      <c r="C3" s="19"/>
      <c r="D3" s="44" t="s">
        <v>43</v>
      </c>
      <c r="E3" s="19"/>
    </row>
    <row r="4" spans="1:5" x14ac:dyDescent="0.2">
      <c r="A4" s="44">
        <v>0</v>
      </c>
      <c r="B4" s="46">
        <v>-200</v>
      </c>
      <c r="C4" s="19"/>
      <c r="D4" s="46">
        <v>-200</v>
      </c>
      <c r="E4" s="19"/>
    </row>
    <row r="5" spans="1:5" x14ac:dyDescent="0.2">
      <c r="A5" s="19">
        <v>1</v>
      </c>
      <c r="B5" s="48">
        <v>0</v>
      </c>
      <c r="C5" s="19"/>
      <c r="D5" s="48">
        <v>50</v>
      </c>
      <c r="E5" s="19"/>
    </row>
    <row r="6" spans="1:5" x14ac:dyDescent="0.2">
      <c r="A6" s="19">
        <v>2</v>
      </c>
      <c r="B6" s="48">
        <v>0</v>
      </c>
      <c r="C6" s="19"/>
      <c r="D6" s="48">
        <v>0</v>
      </c>
      <c r="E6" s="19"/>
    </row>
    <row r="7" spans="1:5" x14ac:dyDescent="0.2">
      <c r="A7" s="19">
        <v>3</v>
      </c>
      <c r="B7" s="48">
        <v>220</v>
      </c>
      <c r="C7" s="19"/>
      <c r="D7" s="48">
        <v>170</v>
      </c>
      <c r="E7" s="19"/>
    </row>
    <row r="8" spans="1:5" x14ac:dyDescent="0.2">
      <c r="A8" s="19">
        <v>4</v>
      </c>
      <c r="B8" s="48">
        <v>0</v>
      </c>
      <c r="C8" s="19"/>
      <c r="D8" s="48">
        <v>0</v>
      </c>
      <c r="E8" s="19"/>
    </row>
    <row r="9" spans="1:5" x14ac:dyDescent="0.2">
      <c r="A9" s="19">
        <v>5</v>
      </c>
      <c r="B9" s="48">
        <v>0</v>
      </c>
      <c r="C9" s="19"/>
      <c r="D9" s="48">
        <v>0</v>
      </c>
      <c r="E9" s="19"/>
    </row>
    <row r="10" spans="1:5" x14ac:dyDescent="0.2">
      <c r="A10" s="19">
        <v>6</v>
      </c>
      <c r="B10" s="48">
        <v>0</v>
      </c>
      <c r="C10" s="19"/>
      <c r="D10" s="48">
        <v>0</v>
      </c>
      <c r="E10" s="19"/>
    </row>
    <row r="11" spans="1:5" x14ac:dyDescent="0.2">
      <c r="A11" s="19">
        <v>7</v>
      </c>
      <c r="B11" s="48">
        <v>0</v>
      </c>
      <c r="C11" s="19"/>
      <c r="D11" s="48">
        <v>0</v>
      </c>
      <c r="E11" s="19"/>
    </row>
    <row r="12" spans="1:5" x14ac:dyDescent="0.2">
      <c r="A12" s="19">
        <v>8</v>
      </c>
      <c r="B12" s="48">
        <v>0</v>
      </c>
      <c r="C12" s="19"/>
      <c r="D12" s="48">
        <v>0</v>
      </c>
      <c r="E12" s="19"/>
    </row>
    <row r="13" spans="1:5" x14ac:dyDescent="0.2">
      <c r="A13" s="19">
        <v>9</v>
      </c>
      <c r="B13" s="48">
        <v>0</v>
      </c>
      <c r="C13" s="19"/>
      <c r="D13" s="48">
        <v>0</v>
      </c>
      <c r="E13" s="19"/>
    </row>
    <row r="14" spans="1:5" x14ac:dyDescent="0.2">
      <c r="A14" s="19">
        <v>10</v>
      </c>
      <c r="B14" s="48">
        <v>0</v>
      </c>
      <c r="C14" s="19"/>
      <c r="D14" s="48">
        <v>0</v>
      </c>
      <c r="E14" s="19"/>
    </row>
    <row r="15" spans="1:5" x14ac:dyDescent="0.2">
      <c r="A15" s="19"/>
      <c r="B15" s="19"/>
      <c r="C15" s="19"/>
      <c r="D15" s="19"/>
      <c r="E15" s="19"/>
    </row>
    <row r="16" spans="1:5" x14ac:dyDescent="0.2">
      <c r="A16" s="19" t="s">
        <v>15</v>
      </c>
      <c r="B16" s="19"/>
      <c r="C16" s="19"/>
      <c r="D16" s="19"/>
      <c r="E16" s="19"/>
    </row>
    <row r="17" spans="1:5" x14ac:dyDescent="0.2">
      <c r="A17" s="19" t="s">
        <v>44</v>
      </c>
      <c r="B17" s="43">
        <f>IRR(B4:B14,0.1)</f>
        <v>3.2280115456367664E-2</v>
      </c>
      <c r="C17" s="19"/>
      <c r="D17" s="43">
        <f>IRR(D4:D14,0.1)</f>
        <v>3.8358879446545036E-2</v>
      </c>
      <c r="E17" s="19"/>
    </row>
    <row r="18" spans="1:5" x14ac:dyDescent="0.2">
      <c r="A18" s="19"/>
      <c r="B18" s="19"/>
      <c r="C18" s="19"/>
      <c r="D18" s="19"/>
      <c r="E18" s="19"/>
    </row>
  </sheetData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19"/>
  <sheetViews>
    <sheetView workbookViewId="0">
      <selection activeCell="B3" sqref="B3"/>
    </sheetView>
  </sheetViews>
  <sheetFormatPr baseColWidth="10" defaultRowHeight="12.75" x14ac:dyDescent="0.2"/>
  <cols>
    <col min="1" max="1" width="22.28515625" style="17" customWidth="1"/>
    <col min="2" max="16384" width="11.42578125" style="17"/>
  </cols>
  <sheetData>
    <row r="1" spans="1:7" x14ac:dyDescent="0.2">
      <c r="A1" s="71" t="s">
        <v>45</v>
      </c>
      <c r="B1" s="72"/>
      <c r="C1" s="72"/>
      <c r="D1" s="72"/>
      <c r="E1" s="72"/>
      <c r="F1" s="72"/>
      <c r="G1" s="72"/>
    </row>
    <row r="2" spans="1:7" x14ac:dyDescent="0.2">
      <c r="A2" s="72"/>
      <c r="B2" s="72"/>
      <c r="C2" s="72"/>
      <c r="D2" s="72"/>
      <c r="E2" s="72"/>
      <c r="F2" s="72"/>
      <c r="G2" s="72"/>
    </row>
    <row r="3" spans="1:7" x14ac:dyDescent="0.2">
      <c r="A3" s="72" t="s">
        <v>46</v>
      </c>
      <c r="B3" s="78">
        <v>1000</v>
      </c>
      <c r="C3" s="72"/>
      <c r="D3" s="72"/>
      <c r="E3" s="72"/>
      <c r="F3" s="72"/>
      <c r="G3" s="72"/>
    </row>
    <row r="4" spans="1:7" x14ac:dyDescent="0.2">
      <c r="A4" s="72" t="s">
        <v>47</v>
      </c>
      <c r="B4" s="79">
        <v>0.03</v>
      </c>
      <c r="C4" s="72"/>
      <c r="D4" s="72"/>
      <c r="E4" s="72"/>
      <c r="F4" s="72"/>
      <c r="G4" s="72"/>
    </row>
    <row r="5" spans="1:7" x14ac:dyDescent="0.2">
      <c r="A5" s="72" t="s">
        <v>48</v>
      </c>
      <c r="B5" s="80">
        <v>60</v>
      </c>
      <c r="C5" s="72"/>
      <c r="D5" s="72"/>
      <c r="E5" s="72"/>
      <c r="F5" s="72"/>
      <c r="G5" s="72"/>
    </row>
    <row r="6" spans="1:7" x14ac:dyDescent="0.2">
      <c r="A6" s="72" t="s">
        <v>49</v>
      </c>
      <c r="B6" s="82">
        <v>0.12</v>
      </c>
      <c r="C6" s="72"/>
      <c r="D6" s="72"/>
      <c r="E6" s="72"/>
      <c r="F6" s="72"/>
      <c r="G6" s="72"/>
    </row>
    <row r="7" spans="1:7" x14ac:dyDescent="0.2">
      <c r="A7" s="75" t="s">
        <v>50</v>
      </c>
      <c r="B7" s="81">
        <v>180</v>
      </c>
      <c r="C7" s="75" t="s">
        <v>51</v>
      </c>
      <c r="D7" s="72"/>
      <c r="E7" s="72"/>
      <c r="F7" s="72"/>
      <c r="G7" s="72"/>
    </row>
    <row r="8" spans="1:7" x14ac:dyDescent="0.2">
      <c r="A8" s="72"/>
      <c r="B8" s="74"/>
      <c r="C8" s="72"/>
      <c r="D8" s="72"/>
      <c r="E8" s="72"/>
      <c r="F8" s="72"/>
      <c r="G8" s="72"/>
    </row>
    <row r="9" spans="1:7" x14ac:dyDescent="0.2">
      <c r="A9" s="71" t="s">
        <v>27</v>
      </c>
      <c r="B9" s="72"/>
      <c r="C9" s="72"/>
      <c r="D9" s="72"/>
      <c r="E9" s="72"/>
      <c r="F9" s="72"/>
      <c r="G9" s="72"/>
    </row>
    <row r="10" spans="1:7" x14ac:dyDescent="0.2">
      <c r="A10" s="72" t="s">
        <v>52</v>
      </c>
      <c r="B10" s="73">
        <f>B3*B4</f>
        <v>30</v>
      </c>
      <c r="C10" s="72"/>
      <c r="D10" s="72"/>
      <c r="E10" s="72"/>
      <c r="F10" s="72"/>
      <c r="G10" s="72"/>
    </row>
    <row r="11" spans="1:7" x14ac:dyDescent="0.2">
      <c r="A11" s="75" t="s">
        <v>53</v>
      </c>
      <c r="B11" s="73">
        <f>(B3-B10)*B6*B7/360</f>
        <v>58.2</v>
      </c>
      <c r="C11" s="72"/>
      <c r="D11" s="72"/>
      <c r="E11" s="72"/>
      <c r="F11" s="72"/>
      <c r="G11" s="72"/>
    </row>
    <row r="12" spans="1:7" x14ac:dyDescent="0.2">
      <c r="A12" s="75" t="s">
        <v>54</v>
      </c>
      <c r="B12" s="73"/>
      <c r="C12" s="72"/>
      <c r="D12" s="72"/>
      <c r="E12" s="72"/>
      <c r="F12" s="72"/>
      <c r="G12" s="72"/>
    </row>
    <row r="13" spans="1:7" x14ac:dyDescent="0.2">
      <c r="A13" s="75" t="s">
        <v>55</v>
      </c>
      <c r="B13" s="73">
        <f>-($B$3-$B$10)*(1+$B$7/360*$B$6)</f>
        <v>-1028.2</v>
      </c>
      <c r="C13" s="72"/>
      <c r="D13" s="72"/>
      <c r="E13" s="72"/>
      <c r="F13" s="72"/>
      <c r="G13" s="72"/>
    </row>
    <row r="14" spans="1:7" x14ac:dyDescent="0.2">
      <c r="A14" s="75" t="s">
        <v>56</v>
      </c>
      <c r="B14" s="73">
        <f>-$B$3*(1+($B$7-B5)/360*$B$6)</f>
        <v>-1040</v>
      </c>
      <c r="C14" s="72"/>
      <c r="D14" s="72"/>
      <c r="E14" s="72"/>
      <c r="F14" s="72"/>
      <c r="G14" s="72"/>
    </row>
    <row r="15" spans="1:7" x14ac:dyDescent="0.2">
      <c r="A15" s="71" t="str">
        <f>IF(B13&gt;=B14,"Die Rechnung sollte sofort beglichen werden. Der Rechnungsbetrag abzgl. Skonto beträgt:","Die Zahlung sollte am Ende der Zahlungsfrist geleistet werden.")</f>
        <v>Die Rechnung sollte sofort beglichen werden. Der Rechnungsbetrag abzgl. Skonto beträgt:</v>
      </c>
      <c r="B15" s="72"/>
      <c r="C15" s="72"/>
      <c r="D15" s="72"/>
      <c r="E15" s="72"/>
      <c r="F15" s="72"/>
      <c r="G15" s="72"/>
    </row>
    <row r="16" spans="1:7" x14ac:dyDescent="0.2">
      <c r="A16" s="19"/>
      <c r="B16" s="127">
        <f>IF(B13&gt;=B14,B3*(1-B4),"")</f>
        <v>970</v>
      </c>
      <c r="C16" s="72"/>
      <c r="D16" s="72"/>
      <c r="E16" s="72"/>
      <c r="F16" s="72"/>
      <c r="G16" s="72"/>
    </row>
    <row r="17" spans="1:7" x14ac:dyDescent="0.2">
      <c r="A17" s="72"/>
      <c r="B17" s="72"/>
      <c r="C17" s="72"/>
      <c r="D17" s="72"/>
      <c r="E17" s="72"/>
      <c r="F17" s="72"/>
      <c r="G17" s="72"/>
    </row>
    <row r="18" spans="1:7" x14ac:dyDescent="0.2">
      <c r="A18" s="72" t="s">
        <v>57</v>
      </c>
      <c r="B18" s="77">
        <f>360*B4/(B5-B4*B7)</f>
        <v>0.19780219780219777</v>
      </c>
      <c r="C18" s="72" t="s">
        <v>58</v>
      </c>
      <c r="D18" s="72"/>
      <c r="E18" s="72"/>
      <c r="F18" s="72"/>
      <c r="G18" s="72"/>
    </row>
    <row r="19" spans="1:7" x14ac:dyDescent="0.2">
      <c r="A19" s="72"/>
      <c r="B19" s="72"/>
      <c r="C19" s="72"/>
      <c r="D19" s="72"/>
      <c r="E19" s="72"/>
      <c r="F19" s="72"/>
      <c r="G19" s="72"/>
    </row>
  </sheetData>
  <phoneticPr fontId="3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15"/>
  <sheetViews>
    <sheetView workbookViewId="0">
      <selection activeCell="B3" sqref="B3"/>
    </sheetView>
  </sheetViews>
  <sheetFormatPr baseColWidth="10" defaultRowHeight="12.75" x14ac:dyDescent="0.2"/>
  <cols>
    <col min="1" max="1" width="20.28515625" customWidth="1"/>
    <col min="3" max="3" width="14.42578125" customWidth="1"/>
    <col min="4" max="4" width="12.42578125" customWidth="1"/>
  </cols>
  <sheetData>
    <row r="1" spans="1:6" x14ac:dyDescent="0.2">
      <c r="A1" s="19"/>
      <c r="B1" s="19" t="s">
        <v>31</v>
      </c>
      <c r="C1" s="19"/>
      <c r="D1" s="19"/>
      <c r="E1" s="44" t="s">
        <v>59</v>
      </c>
      <c r="F1" s="19"/>
    </row>
    <row r="2" spans="1:6" x14ac:dyDescent="0.2">
      <c r="A2" s="19"/>
      <c r="B2" s="19" t="s">
        <v>60</v>
      </c>
      <c r="C2" s="19" t="s">
        <v>61</v>
      </c>
      <c r="D2" s="19" t="s">
        <v>62</v>
      </c>
      <c r="E2" s="44" t="s">
        <v>44</v>
      </c>
      <c r="F2" s="19"/>
    </row>
    <row r="3" spans="1:6" x14ac:dyDescent="0.2">
      <c r="A3" s="19" t="s">
        <v>63</v>
      </c>
      <c r="B3" s="48">
        <v>-100</v>
      </c>
      <c r="C3" s="48">
        <v>6.1</v>
      </c>
      <c r="D3" s="48">
        <v>106.1</v>
      </c>
      <c r="E3" s="103">
        <f>IRR(B3:D3)</f>
        <v>6.0999999999977517E-2</v>
      </c>
      <c r="F3" s="19"/>
    </row>
    <row r="4" spans="1:6" x14ac:dyDescent="0.2">
      <c r="A4" s="19" t="s">
        <v>64</v>
      </c>
      <c r="B4" s="48">
        <v>-100</v>
      </c>
      <c r="C4" s="48">
        <v>110</v>
      </c>
      <c r="D4" s="48">
        <v>0</v>
      </c>
      <c r="E4" s="103">
        <f>IRR(B4:D4)</f>
        <v>0.10000000000000009</v>
      </c>
      <c r="F4" s="19"/>
    </row>
    <row r="5" spans="1:6" x14ac:dyDescent="0.2">
      <c r="A5" s="19" t="s">
        <v>65</v>
      </c>
      <c r="B5" s="48">
        <v>-100</v>
      </c>
      <c r="C5" s="48">
        <v>0</v>
      </c>
      <c r="D5" s="48">
        <f>100*1.06^2</f>
        <v>112.36000000000001</v>
      </c>
      <c r="E5" s="103">
        <f>IRR(B5:D5)</f>
        <v>5.999999999996608E-2</v>
      </c>
      <c r="F5" s="19"/>
    </row>
    <row r="6" spans="1:6" x14ac:dyDescent="0.2">
      <c r="A6" s="19"/>
      <c r="B6" s="45"/>
      <c r="C6" s="45"/>
      <c r="D6" s="45"/>
      <c r="E6" s="19"/>
      <c r="F6" s="19"/>
    </row>
    <row r="7" spans="1:6" x14ac:dyDescent="0.2">
      <c r="A7" s="19" t="s">
        <v>66</v>
      </c>
      <c r="B7" s="48">
        <v>100000</v>
      </c>
      <c r="C7" s="45"/>
      <c r="D7" s="45"/>
      <c r="E7" s="19"/>
      <c r="F7" s="19"/>
    </row>
    <row r="8" spans="1:6" x14ac:dyDescent="0.2">
      <c r="A8" s="19"/>
      <c r="B8" s="45"/>
      <c r="C8" s="45"/>
      <c r="D8" s="45"/>
      <c r="E8" s="19"/>
      <c r="F8" s="19"/>
    </row>
    <row r="9" spans="1:6" x14ac:dyDescent="0.2">
      <c r="A9" s="19" t="s">
        <v>27</v>
      </c>
      <c r="B9" s="45"/>
      <c r="C9" s="45"/>
      <c r="D9" s="45"/>
      <c r="E9" s="19"/>
      <c r="F9" s="19"/>
    </row>
    <row r="10" spans="1:6" x14ac:dyDescent="0.2">
      <c r="A10" s="19" t="s">
        <v>63</v>
      </c>
      <c r="B10" s="45">
        <f>-B7</f>
        <v>-100000</v>
      </c>
      <c r="C10" s="45">
        <f>-$B$7*C3/B3</f>
        <v>6100</v>
      </c>
      <c r="D10" s="45">
        <f>-$B$7*D3/B3</f>
        <v>106100</v>
      </c>
      <c r="E10" s="19"/>
      <c r="F10" s="19"/>
    </row>
    <row r="11" spans="1:6" x14ac:dyDescent="0.2">
      <c r="A11" s="19"/>
      <c r="B11" s="45"/>
      <c r="C11" s="45"/>
      <c r="D11" s="45"/>
      <c r="E11" s="19"/>
      <c r="F11" s="19"/>
    </row>
    <row r="12" spans="1:6" x14ac:dyDescent="0.2">
      <c r="A12" s="19" t="s">
        <v>65</v>
      </c>
      <c r="B12" s="45">
        <f>D12*B5/D5</f>
        <v>-94428.62228551085</v>
      </c>
      <c r="C12" s="45">
        <v>0</v>
      </c>
      <c r="D12" s="45">
        <f>D10</f>
        <v>106100</v>
      </c>
      <c r="E12" s="19"/>
      <c r="F12" s="19"/>
    </row>
    <row r="13" spans="1:6" x14ac:dyDescent="0.2">
      <c r="A13" s="19" t="s">
        <v>64</v>
      </c>
      <c r="B13" s="105">
        <f>C13*B4/C4</f>
        <v>-5545.454545454545</v>
      </c>
      <c r="C13" s="105">
        <f>C10</f>
        <v>6100</v>
      </c>
      <c r="D13" s="105">
        <v>0</v>
      </c>
      <c r="E13" s="19"/>
      <c r="F13" s="19"/>
    </row>
    <row r="14" spans="1:6" x14ac:dyDescent="0.2">
      <c r="A14" s="19" t="s">
        <v>67</v>
      </c>
      <c r="B14" s="45">
        <f>B12+B13</f>
        <v>-99974.076830965394</v>
      </c>
      <c r="C14" s="45">
        <f>C12+C13</f>
        <v>6100</v>
      </c>
      <c r="D14" s="45">
        <f>D12+D13</f>
        <v>106100</v>
      </c>
      <c r="E14" s="19"/>
      <c r="F14" s="19"/>
    </row>
    <row r="15" spans="1:6" x14ac:dyDescent="0.2">
      <c r="A15" s="19"/>
      <c r="B15" s="19"/>
      <c r="C15" s="19"/>
      <c r="D15" s="19"/>
      <c r="E15" s="19"/>
      <c r="F15" s="19"/>
    </row>
  </sheetData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E10"/>
  <sheetViews>
    <sheetView workbookViewId="0">
      <selection activeCell="B3" sqref="B3"/>
    </sheetView>
  </sheetViews>
  <sheetFormatPr baseColWidth="10" defaultRowHeight="12.75" x14ac:dyDescent="0.2"/>
  <cols>
    <col min="1" max="1" width="6" customWidth="1"/>
  </cols>
  <sheetData>
    <row r="1" spans="1:5" ht="13.5" x14ac:dyDescent="0.2">
      <c r="A1" s="39" t="s">
        <v>68</v>
      </c>
      <c r="B1" s="19"/>
      <c r="C1" s="19"/>
      <c r="D1" s="19"/>
      <c r="E1" s="19"/>
    </row>
    <row r="2" spans="1:5" x14ac:dyDescent="0.2">
      <c r="A2" s="19"/>
      <c r="B2" s="19"/>
      <c r="C2" s="19"/>
      <c r="D2" s="19"/>
      <c r="E2" s="19"/>
    </row>
    <row r="3" spans="1:5" x14ac:dyDescent="0.2">
      <c r="A3" s="44" t="s">
        <v>69</v>
      </c>
      <c r="B3" s="47">
        <v>1</v>
      </c>
      <c r="C3" s="19"/>
      <c r="D3" s="19"/>
      <c r="E3" s="19"/>
    </row>
    <row r="4" spans="1:5" x14ac:dyDescent="0.2">
      <c r="A4" s="44" t="s">
        <v>70</v>
      </c>
      <c r="B4" s="47">
        <v>4</v>
      </c>
      <c r="C4" s="19"/>
      <c r="D4" s="19"/>
      <c r="E4" s="19"/>
    </row>
    <row r="5" spans="1:5" x14ac:dyDescent="0.2">
      <c r="A5" s="44" t="s">
        <v>71</v>
      </c>
      <c r="B5" s="47">
        <v>-100</v>
      </c>
      <c r="C5" s="19"/>
      <c r="D5" s="19"/>
      <c r="E5" s="19"/>
    </row>
    <row r="6" spans="1:5" x14ac:dyDescent="0.2">
      <c r="A6" s="44"/>
      <c r="B6" s="19"/>
      <c r="C6" s="19"/>
      <c r="D6" s="19"/>
      <c r="E6" s="19"/>
    </row>
    <row r="7" spans="1:5" x14ac:dyDescent="0.2">
      <c r="A7" s="53" t="s">
        <v>72</v>
      </c>
      <c r="B7" s="19"/>
      <c r="C7" s="19"/>
      <c r="D7" s="19"/>
      <c r="E7" s="19"/>
    </row>
    <row r="8" spans="1:5" ht="13.5" x14ac:dyDescent="0.25">
      <c r="A8" s="44" t="s">
        <v>73</v>
      </c>
      <c r="B8" s="19">
        <f>(-$B$4-SQRT($B$4*$B$4-4*$B$3*$B$5))/(2*$B$3)</f>
        <v>-12.198039027185569</v>
      </c>
      <c r="C8" s="19"/>
      <c r="D8" s="19"/>
      <c r="E8" s="19"/>
    </row>
    <row r="9" spans="1:5" ht="13.5" x14ac:dyDescent="0.25">
      <c r="A9" s="44" t="s">
        <v>74</v>
      </c>
      <c r="B9" s="19">
        <f>(-$B$4+SQRT($B$4*$B$4-4*$B$3*$B$5))/(2*$B$3)</f>
        <v>8.198039027185569</v>
      </c>
      <c r="C9" s="19"/>
      <c r="D9" s="19"/>
      <c r="E9" s="19"/>
    </row>
    <row r="10" spans="1:5" x14ac:dyDescent="0.2">
      <c r="A10" s="19"/>
      <c r="B10" s="19"/>
      <c r="C10" s="19"/>
      <c r="D10" s="19"/>
      <c r="E10" s="19"/>
    </row>
  </sheetData>
  <phoneticPr fontId="3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2:B53"/>
  <sheetViews>
    <sheetView workbookViewId="0">
      <selection activeCell="H25" sqref="H25"/>
    </sheetView>
  </sheetViews>
  <sheetFormatPr baseColWidth="10" defaultRowHeight="12.75" x14ac:dyDescent="0.2"/>
  <sheetData>
    <row r="2" spans="1:2" x14ac:dyDescent="0.2">
      <c r="A2">
        <v>0</v>
      </c>
      <c r="B2">
        <f>0.5*(A2-5)^4-60</f>
        <v>252.5</v>
      </c>
    </row>
    <row r="3" spans="1:2" x14ac:dyDescent="0.2">
      <c r="A3">
        <v>7.0000000000000007E-2</v>
      </c>
      <c r="B3">
        <f t="shared" ref="B3:B18" si="0">0.5*(A3-5)^4-60</f>
        <v>235.36408200499989</v>
      </c>
    </row>
    <row r="4" spans="1:2" x14ac:dyDescent="0.2">
      <c r="A4">
        <v>0.14000000000000001</v>
      </c>
      <c r="B4">
        <f t="shared" si="0"/>
        <v>218.94275208000005</v>
      </c>
    </row>
    <row r="5" spans="1:2" x14ac:dyDescent="0.2">
      <c r="A5">
        <v>0.21</v>
      </c>
      <c r="B5">
        <f t="shared" si="0"/>
        <v>203.215862405</v>
      </c>
    </row>
    <row r="6" spans="1:2" x14ac:dyDescent="0.2">
      <c r="A6">
        <v>0.28000000000000003</v>
      </c>
      <c r="B6">
        <f t="shared" si="0"/>
        <v>188.16355327999995</v>
      </c>
    </row>
    <row r="7" spans="1:2" x14ac:dyDescent="0.2">
      <c r="A7">
        <v>0.35</v>
      </c>
      <c r="B7">
        <f t="shared" si="0"/>
        <v>173.76625312500005</v>
      </c>
    </row>
    <row r="8" spans="1:2" x14ac:dyDescent="0.2">
      <c r="A8">
        <v>0.42</v>
      </c>
      <c r="B8">
        <f t="shared" si="0"/>
        <v>160.00467848000002</v>
      </c>
    </row>
    <row r="9" spans="1:2" x14ac:dyDescent="0.2">
      <c r="A9">
        <v>0.49</v>
      </c>
      <c r="B9">
        <f t="shared" si="0"/>
        <v>146.85983400499998</v>
      </c>
    </row>
    <row r="10" spans="1:2" x14ac:dyDescent="0.2">
      <c r="A10">
        <v>0.56000000000000005</v>
      </c>
      <c r="B10">
        <f t="shared" si="0"/>
        <v>134.31301247999991</v>
      </c>
    </row>
    <row r="11" spans="1:2" x14ac:dyDescent="0.2">
      <c r="A11">
        <v>0.63</v>
      </c>
      <c r="B11">
        <f t="shared" si="0"/>
        <v>122.34579480500003</v>
      </c>
    </row>
    <row r="12" spans="1:2" x14ac:dyDescent="0.2">
      <c r="A12">
        <v>0.7</v>
      </c>
      <c r="B12">
        <f t="shared" si="0"/>
        <v>110.94004999999999</v>
      </c>
    </row>
    <row r="13" spans="1:2" x14ac:dyDescent="0.2">
      <c r="A13">
        <v>0.77</v>
      </c>
      <c r="B13">
        <f t="shared" si="0"/>
        <v>100.07793520500007</v>
      </c>
    </row>
    <row r="14" spans="1:2" x14ac:dyDescent="0.2">
      <c r="A14">
        <v>0.84</v>
      </c>
      <c r="B14">
        <f t="shared" si="0"/>
        <v>89.741895680000027</v>
      </c>
    </row>
    <row r="15" spans="1:2" x14ac:dyDescent="0.2">
      <c r="A15">
        <v>0.91</v>
      </c>
      <c r="B15">
        <f t="shared" si="0"/>
        <v>79.914664804999973</v>
      </c>
    </row>
    <row r="16" spans="1:2" x14ac:dyDescent="0.2">
      <c r="A16">
        <v>0.98</v>
      </c>
      <c r="B16">
        <f t="shared" si="0"/>
        <v>70.579264079999916</v>
      </c>
    </row>
    <row r="17" spans="1:2" x14ac:dyDescent="0.2">
      <c r="A17">
        <v>1.05</v>
      </c>
      <c r="B17">
        <f t="shared" si="0"/>
        <v>61.719003125000015</v>
      </c>
    </row>
    <row r="18" spans="1:2" x14ac:dyDescent="0.2">
      <c r="A18">
        <v>1.1200000000000001</v>
      </c>
      <c r="B18">
        <f t="shared" si="0"/>
        <v>53.317479679999991</v>
      </c>
    </row>
    <row r="19" spans="1:2" x14ac:dyDescent="0.2">
      <c r="A19">
        <v>1.19</v>
      </c>
      <c r="B19">
        <f t="shared" ref="B19:B34" si="1">0.5*(A19-5)^4-60</f>
        <v>45.358579605000003</v>
      </c>
    </row>
    <row r="20" spans="1:2" x14ac:dyDescent="0.2">
      <c r="A20">
        <v>1.26</v>
      </c>
      <c r="B20">
        <f t="shared" si="1"/>
        <v>37.82647688000003</v>
      </c>
    </row>
    <row r="21" spans="1:2" x14ac:dyDescent="0.2">
      <c r="A21">
        <v>1.33</v>
      </c>
      <c r="B21">
        <f t="shared" si="1"/>
        <v>30.705633604999989</v>
      </c>
    </row>
    <row r="22" spans="1:2" x14ac:dyDescent="0.2">
      <c r="A22">
        <v>1.4</v>
      </c>
      <c r="B22">
        <f>0.5*(A22-5)^4-60</f>
        <v>23.980800000000016</v>
      </c>
    </row>
    <row r="23" spans="1:2" x14ac:dyDescent="0.2">
      <c r="A23">
        <v>1.47</v>
      </c>
      <c r="B23">
        <f t="shared" si="1"/>
        <v>17.637014405000031</v>
      </c>
    </row>
    <row r="24" spans="1:2" x14ac:dyDescent="0.2">
      <c r="A24">
        <v>1.54</v>
      </c>
      <c r="B24">
        <f t="shared" si="1"/>
        <v>11.659603279999999</v>
      </c>
    </row>
    <row r="25" spans="1:2" x14ac:dyDescent="0.2">
      <c r="A25">
        <v>1.61</v>
      </c>
      <c r="B25">
        <f t="shared" si="1"/>
        <v>6.0341812049999675</v>
      </c>
    </row>
    <row r="26" spans="1:2" x14ac:dyDescent="0.2">
      <c r="A26">
        <v>1.68</v>
      </c>
      <c r="B26">
        <f t="shared" si="1"/>
        <v>0.74665088000001134</v>
      </c>
    </row>
    <row r="27" spans="1:2" x14ac:dyDescent="0.2">
      <c r="A27">
        <v>1.75</v>
      </c>
      <c r="B27">
        <f t="shared" si="1"/>
        <v>-4.216796875</v>
      </c>
    </row>
    <row r="28" spans="1:2" x14ac:dyDescent="0.2">
      <c r="A28">
        <v>1.82</v>
      </c>
      <c r="B28">
        <f t="shared" si="1"/>
        <v>-8.8696831200000261</v>
      </c>
    </row>
    <row r="29" spans="1:2" x14ac:dyDescent="0.2">
      <c r="A29">
        <v>1.89</v>
      </c>
      <c r="B29">
        <f t="shared" si="1"/>
        <v>-13.225240794999976</v>
      </c>
    </row>
    <row r="30" spans="1:2" x14ac:dyDescent="0.2">
      <c r="A30">
        <v>1.96</v>
      </c>
      <c r="B30">
        <f t="shared" si="1"/>
        <v>-17.296414720000001</v>
      </c>
    </row>
    <row r="31" spans="1:2" x14ac:dyDescent="0.2">
      <c r="A31">
        <v>2.0299999999999998</v>
      </c>
      <c r="B31">
        <f t="shared" si="1"/>
        <v>-21.095861594999988</v>
      </c>
    </row>
    <row r="32" spans="1:2" x14ac:dyDescent="0.2">
      <c r="A32">
        <v>2.1</v>
      </c>
      <c r="B32">
        <f t="shared" si="1"/>
        <v>-24.635950000000001</v>
      </c>
    </row>
    <row r="33" spans="1:2" x14ac:dyDescent="0.2">
      <c r="A33">
        <v>2.17</v>
      </c>
      <c r="B33">
        <f t="shared" si="1"/>
        <v>-27.928760394999998</v>
      </c>
    </row>
    <row r="34" spans="1:2" x14ac:dyDescent="0.2">
      <c r="A34">
        <v>2.2400000000000002</v>
      </c>
      <c r="B34">
        <f t="shared" si="1"/>
        <v>-30.986085120000009</v>
      </c>
    </row>
    <row r="35" spans="1:2" x14ac:dyDescent="0.2">
      <c r="A35">
        <v>2.31</v>
      </c>
      <c r="B35">
        <f t="shared" ref="B35:B52" si="2">0.5*(A35-5)^4-60</f>
        <v>-33.819428395000003</v>
      </c>
    </row>
    <row r="36" spans="1:2" x14ac:dyDescent="0.2">
      <c r="A36">
        <v>2.38</v>
      </c>
      <c r="B36">
        <f t="shared" si="2"/>
        <v>-36.440006319999995</v>
      </c>
    </row>
    <row r="37" spans="1:2" x14ac:dyDescent="0.2">
      <c r="A37">
        <v>2.4500000000000002</v>
      </c>
      <c r="B37">
        <f t="shared" si="2"/>
        <v>-38.858746875000008</v>
      </c>
    </row>
    <row r="38" spans="1:2" x14ac:dyDescent="0.2">
      <c r="A38">
        <v>2.52</v>
      </c>
      <c r="B38">
        <f t="shared" si="2"/>
        <v>-41.086289919999999</v>
      </c>
    </row>
    <row r="39" spans="1:2" x14ac:dyDescent="0.2">
      <c r="A39">
        <v>2.59</v>
      </c>
      <c r="B39">
        <f t="shared" si="2"/>
        <v>-43.132987194999998</v>
      </c>
    </row>
    <row r="40" spans="1:2" x14ac:dyDescent="0.2">
      <c r="A40">
        <v>2.66</v>
      </c>
      <c r="B40">
        <f t="shared" si="2"/>
        <v>-45.008902320000004</v>
      </c>
    </row>
    <row r="41" spans="1:2" x14ac:dyDescent="0.2">
      <c r="A41">
        <v>2.73</v>
      </c>
      <c r="B41">
        <f t="shared" si="2"/>
        <v>-46.723810794999999</v>
      </c>
    </row>
    <row r="42" spans="1:2" x14ac:dyDescent="0.2">
      <c r="A42">
        <v>2.8</v>
      </c>
      <c r="B42">
        <f t="shared" si="2"/>
        <v>-48.287199999999999</v>
      </c>
    </row>
    <row r="43" spans="1:2" x14ac:dyDescent="0.2">
      <c r="A43">
        <v>2.87</v>
      </c>
      <c r="B43">
        <f t="shared" si="2"/>
        <v>-49.708269195</v>
      </c>
    </row>
    <row r="44" spans="1:2" x14ac:dyDescent="0.2">
      <c r="A44">
        <v>2.94</v>
      </c>
      <c r="B44">
        <f t="shared" si="2"/>
        <v>-50.995929520000004</v>
      </c>
    </row>
    <row r="45" spans="1:2" x14ac:dyDescent="0.2">
      <c r="A45">
        <v>3.01</v>
      </c>
      <c r="B45">
        <f t="shared" si="2"/>
        <v>-52.158803995</v>
      </c>
    </row>
    <row r="46" spans="1:2" x14ac:dyDescent="0.2">
      <c r="A46">
        <v>3.08</v>
      </c>
      <c r="B46">
        <f t="shared" si="2"/>
        <v>-53.205227520000001</v>
      </c>
    </row>
    <row r="47" spans="1:2" x14ac:dyDescent="0.2">
      <c r="A47">
        <v>3.15</v>
      </c>
      <c r="B47">
        <f t="shared" si="2"/>
        <v>-54.143246875000003</v>
      </c>
    </row>
    <row r="48" spans="1:2" x14ac:dyDescent="0.2">
      <c r="A48">
        <v>3.22</v>
      </c>
      <c r="B48">
        <f t="shared" si="2"/>
        <v>-54.980620720000005</v>
      </c>
    </row>
    <row r="49" spans="1:2" x14ac:dyDescent="0.2">
      <c r="A49">
        <v>3.29</v>
      </c>
      <c r="B49">
        <f t="shared" si="2"/>
        <v>-55.724819595</v>
      </c>
    </row>
    <row r="50" spans="1:2" x14ac:dyDescent="0.2">
      <c r="A50">
        <v>3.36</v>
      </c>
      <c r="B50">
        <f t="shared" si="2"/>
        <v>-56.383025920000001</v>
      </c>
    </row>
    <row r="51" spans="1:2" x14ac:dyDescent="0.2">
      <c r="A51">
        <v>5</v>
      </c>
    </row>
    <row r="52" spans="1:2" x14ac:dyDescent="0.2">
      <c r="A52">
        <v>0.56000000000000005</v>
      </c>
      <c r="B52">
        <f t="shared" si="2"/>
        <v>134.31301247999991</v>
      </c>
    </row>
    <row r="53" spans="1:2" x14ac:dyDescent="0.2">
      <c r="A53">
        <v>2.64</v>
      </c>
      <c r="B53">
        <f>0.5*(A53-5)^4-60</f>
        <v>-44.489777920000002</v>
      </c>
    </row>
  </sheetData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&amp;C&amp;F          &amp;A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r:id="rId5">
            <anchor moveWithCells="1" sizeWithCells="1">
              <from>
                <xdr:col>2</xdr:col>
                <xdr:colOff>333375</xdr:colOff>
                <xdr:row>12</xdr:row>
                <xdr:rowOff>66675</xdr:rowOff>
              </from>
              <to>
                <xdr:col>6</xdr:col>
                <xdr:colOff>742950</xdr:colOff>
                <xdr:row>22</xdr:row>
                <xdr:rowOff>104775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Übersicht</vt:lpstr>
      <vt:lpstr>Beisp. 3.1.1 u. 3.1.3</vt:lpstr>
      <vt:lpstr>Beisp. 3.1.2</vt:lpstr>
      <vt:lpstr>Beisp. 3.1.4</vt:lpstr>
      <vt:lpstr>Beisp. 3.1.5</vt:lpstr>
      <vt:lpstr>Beisp. 3.1.6</vt:lpstr>
      <vt:lpstr>Beisp. 3.1.7</vt:lpstr>
      <vt:lpstr>Beisp. 3.2.1</vt:lpstr>
      <vt:lpstr>Abb. 3.2.2</vt:lpstr>
      <vt:lpstr>Beisp. 3.2.2</vt:lpstr>
      <vt:lpstr>Beisp. 3.3.1</vt:lpstr>
      <vt:lpstr>Beisp. 3.3.2</vt:lpstr>
      <vt:lpstr>Beisp. 3.3.3a PAngV</vt:lpstr>
      <vt:lpstr>Beisp. 3.3.3b PAngV</vt:lpstr>
      <vt:lpstr>Beisp. 3.3.4 PAngV</vt:lpstr>
      <vt:lpstr>Beisp. 3.3.5</vt:lpstr>
      <vt:lpstr>Beisp. 3.4.1</vt:lpstr>
      <vt:lpstr>Abb. 3.4.2</vt:lpstr>
      <vt:lpstr>Beisp. 3.4.2</vt:lpstr>
      <vt:lpstr>Beisp. 3.5.1</vt:lpstr>
      <vt:lpstr>Abb 3..5.2</vt:lpstr>
      <vt:lpstr>Diskontierungsfaktoren</vt:lpstr>
      <vt:lpstr>Beisp. 3.5.2</vt:lpstr>
      <vt:lpstr>Beisp. 3.5.3</vt:lpstr>
      <vt:lpstr>Beisp. 3.5.4</vt:lpstr>
      <vt:lpstr>Beisp. 3.6.1</vt:lpstr>
      <vt:lpstr>Aufg. 3.2</vt:lpstr>
      <vt:lpstr>Aufg. 3.3</vt:lpstr>
      <vt:lpstr>Aufg. 3.4</vt:lpstr>
      <vt:lpstr>Aufg. 3.5a</vt:lpstr>
      <vt:lpstr>Aufg. 3.5b und c</vt:lpstr>
      <vt:lpstr>Aufg. 3.6</vt:lpstr>
      <vt:lpstr>Aufg. 3.7</vt:lpstr>
      <vt:lpstr>Aufg. 3.8</vt:lpstr>
      <vt:lpstr>Aufg. 3.9</vt:lpstr>
      <vt:lpstr>Aufg. 3.10</vt:lpstr>
      <vt:lpstr>Aufg. 3.11</vt:lpstr>
      <vt:lpstr>Aufg. 3.11 (Zusatz)</vt:lpstr>
      <vt:lpstr>Aufg. 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Praktische Finanzmathematik</dc:title>
  <dc:subject>Kapitel 3</dc:subject>
  <dc:creator>Pfeifer</dc:creator>
  <cp:lastModifiedBy>ap</cp:lastModifiedBy>
  <dcterms:created xsi:type="dcterms:W3CDTF">1999-09-11T12:26:35Z</dcterms:created>
  <dcterms:modified xsi:type="dcterms:W3CDTF">2021-12-06T16:43:09Z</dcterms:modified>
</cp:coreProperties>
</file>