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9.xml" ContentType="application/vnd.openxmlformats-officedocument.drawing+xml"/>
  <Override PartName="/xl/charts/chart12.xml" ContentType="application/vnd.openxmlformats-officedocument.drawingml.chart+xml"/>
  <Override PartName="/xl/comments3.xml" ContentType="application/vnd.openxmlformats-officedocument.spreadsheetml.comments+xml"/>
  <Override PartName="/xl/drawings/drawing10.xml" ContentType="application/vnd.openxmlformats-officedocument.drawing+xml"/>
  <Override PartName="/xl/comments4.xml" ContentType="application/vnd.openxmlformats-officedocument.spreadsheetml.comments+xml"/>
  <Override PartName="/xl/charts/chart13.xml" ContentType="application/vnd.openxmlformats-officedocument.drawingml.chart+xml"/>
  <Override PartName="/xl/comments5.xml" ContentType="application/vnd.openxmlformats-officedocument.spreadsheetml.comments+xml"/>
  <Override PartName="/xl/drawings/drawing11.xml" ContentType="application/vnd.openxmlformats-officedocument.drawing+xml"/>
  <Override PartName="/xl/charts/chart14.xml" ContentType="application/vnd.openxmlformats-officedocument.drawingml.chart+xml"/>
  <Override PartName="/xl/drawings/drawing12.xml" ContentType="application/vnd.openxmlformats-officedocument.drawing+xml"/>
  <Override PartName="/xl/charts/chart15.xml" ContentType="application/vnd.openxmlformats-officedocument.drawingml.chart+xml"/>
  <Override PartName="/xl/drawings/drawing13.xml" ContentType="application/vnd.openxmlformats-officedocument.drawing+xml"/>
  <Override PartName="/xl/charts/chart16.xml" ContentType="application/vnd.openxmlformats-officedocument.drawingml.chart+xml"/>
  <Override PartName="/xl/drawings/drawing14.xml" ContentType="application/vnd.openxmlformats-officedocument.drawing+xml"/>
  <Override PartName="/xl/charts/chart17.xml" ContentType="application/vnd.openxmlformats-officedocument.drawingml.chart+xml"/>
  <Override PartName="/xl/drawings/drawing15.xml" ContentType="application/vnd.openxmlformats-officedocument.drawing+xml"/>
  <Override PartName="/xl/charts/chart18.xml" ContentType="application/vnd.openxmlformats-officedocument.drawingml.chart+xml"/>
  <Override PartName="/xl/drawings/drawing16.xml" ContentType="application/vnd.openxmlformats-officedocument.drawing+xml"/>
  <Override PartName="/xl/charts/chart19.xml" ContentType="application/vnd.openxmlformats-officedocument.drawingml.chart+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DieseArbeitsmappe"/>
  <bookViews>
    <workbookView xWindow="720" yWindow="435" windowWidth="3420" windowHeight="4275" tabRatio="599"/>
  </bookViews>
  <sheets>
    <sheet name="Übersicht" sheetId="53" r:id="rId1"/>
    <sheet name="Beisp. 10.2.1" sheetId="1" r:id="rId2"/>
    <sheet name="Beisp. 10.2.2" sheetId="2" r:id="rId3"/>
    <sheet name="Beisp. 10.2.3" sheetId="3" r:id="rId4"/>
    <sheet name="Beisp. 10.3.1" sheetId="4" r:id="rId5"/>
    <sheet name="Beisp. 10.3.2a" sheetId="5" r:id="rId6"/>
    <sheet name="Beisp. 10.3.2b" sheetId="6" r:id="rId7"/>
    <sheet name="Beisp. 10.3.3" sheetId="7" r:id="rId8"/>
    <sheet name="Beisp. 10.3.4" sheetId="8" r:id="rId9"/>
    <sheet name="Beisp. 10.3.5" sheetId="9" r:id="rId10"/>
    <sheet name="Beisp. 10.3.6a" sheetId="10" r:id="rId11"/>
    <sheet name="Beisp. 10.3.6b" sheetId="11" r:id="rId12"/>
    <sheet name="Beisp. 10.4.1" sheetId="12" r:id="rId13"/>
    <sheet name="Beisp. 10.4.3a" sheetId="13" r:id="rId14"/>
    <sheet name="Beisp. 10.4.3b" sheetId="14" r:id="rId15"/>
    <sheet name="Beisp. 10.4.4" sheetId="15" r:id="rId16"/>
    <sheet name="Beisp. 10.4.5" sheetId="16" r:id="rId17"/>
    <sheet name="Beisp. 10.4.6 (CRR, n=3)" sheetId="17" r:id="rId18"/>
    <sheet name="Beisp. 10.4.6 (CRR, n=5) Zusatz" sheetId="18" r:id="rId19"/>
    <sheet name="Beisp. 10.4.7" sheetId="19" r:id="rId20"/>
    <sheet name="Wiener-Prozess" sheetId="20" r:id="rId21"/>
    <sheet name="Beisp. 10.4.8" sheetId="21" r:id="rId22"/>
    <sheet name="Optionen Zusatz" sheetId="22" r:id="rId23"/>
    <sheet name="Zusatzbsp. Devisenoption" sheetId="23" r:id="rId24"/>
    <sheet name="Beisp. 10.5.1" sheetId="24" r:id="rId25"/>
    <sheet name="Beisp. 10.5.1 Zusatz" sheetId="25" r:id="rId26"/>
    <sheet name="Beisp. 10.6.1" sheetId="26" r:id="rId27"/>
    <sheet name="Beisp. 10.6.2" sheetId="27" r:id="rId28"/>
    <sheet name="Zinssatz" sheetId="28" r:id="rId29"/>
    <sheet name="Beispiel 10.6.3 (Zusatz Cap)" sheetId="29" r:id="rId30"/>
    <sheet name="Beispiel 10.6.3 (Zusatz Floor )" sheetId="30" r:id="rId31"/>
    <sheet name="Beispiel 10.6.4 (Zusatz)" sheetId="31" r:id="rId32"/>
    <sheet name="Beisp. 10.7.1" sheetId="32" r:id="rId33"/>
    <sheet name="Beisp. 10.7.3" sheetId="33" r:id="rId34"/>
    <sheet name="Beisp. 10.8.1" sheetId="34" r:id="rId35"/>
    <sheet name="Aufg. 10.2" sheetId="35" r:id="rId36"/>
    <sheet name="Aufg. 10.3" sheetId="36" r:id="rId37"/>
    <sheet name="Aufg. 10.4" sheetId="37" r:id="rId38"/>
    <sheet name="Aufg. 10.5" sheetId="38" r:id="rId39"/>
    <sheet name="Aufg. 10.6" sheetId="39" r:id="rId40"/>
    <sheet name="Aufg. 10.7" sheetId="40" r:id="rId41"/>
    <sheet name="Aufg. 10.8a" sheetId="41" r:id="rId42"/>
    <sheet name="Aufg. 10.8b" sheetId="42" r:id="rId43"/>
    <sheet name="Aufg. 10.8c" sheetId="43" r:id="rId44"/>
    <sheet name="Aufg. 10.9" sheetId="44" r:id="rId45"/>
    <sheet name="Aufg. 10.10" sheetId="45" r:id="rId46"/>
    <sheet name="Aufg. 10.11" sheetId="46" r:id="rId47"/>
    <sheet name="Aufg. 10.12" sheetId="47" r:id="rId48"/>
    <sheet name="Aufg. 10.13" sheetId="48" r:id="rId49"/>
    <sheet name="Aufg. 10.14" sheetId="49" r:id="rId50"/>
    <sheet name="Aufg. 10.15" sheetId="50" r:id="rId51"/>
    <sheet name="Aufg. 10.16-10.18" sheetId="51" r:id="rId52"/>
    <sheet name="Aufg. 10.19" sheetId="52" r:id="rId53"/>
  </sheets>
  <externalReferences>
    <externalReference r:id="rId54"/>
    <externalReference r:id="rId55"/>
    <externalReference r:id="rId56"/>
  </externalReferences>
  <definedNames>
    <definedName name="_C">'Beisp. 10.4.4'!$B$3</definedName>
    <definedName name="Aktienkurs">'[1]Binomialmodell Darst. A'!$C$10</definedName>
    <definedName name="Basispreis">'[1]Binomialmodell Darst. A'!$C$11</definedName>
    <definedName name="Bereich1">[2]Cashflow!$K$3:$Y$13</definedName>
    <definedName name="CashFlow_VaR">[2]Cashflow!$L$13:$Y$13</definedName>
    <definedName name="corr_mtx">'[2]Volas und Korrelationen März 03'!$B$22:$O$35</definedName>
    <definedName name="DIV">'[1]Binomialmodell Darst. A'!$C$14</definedName>
    <definedName name="Einzel_VaR_Quadrat">[2]Cashflow!$L$2:$Y$2</definedName>
    <definedName name="Frage2">#REF!</definedName>
    <definedName name="h">'Beisp. 10.4.4'!$B$6</definedName>
    <definedName name="Jahreslänge" localSheetId="22">#REF!</definedName>
    <definedName name="Jahreslänge">'[3]xTelekom-Anleihe'!$K$46</definedName>
    <definedName name="Kurss" localSheetId="22">#REF!</definedName>
    <definedName name="Kurss">'[3]xTelekom-Anleihe'!$H$41</definedName>
    <definedName name="Nennwert" localSheetId="22">#REF!</definedName>
    <definedName name="Nennwert">'[3]xTelekom-Anleihe'!$E$26</definedName>
    <definedName name="Nominalzinssatz" localSheetId="22">#REF!</definedName>
    <definedName name="Nominalzinssatz">'[3]xTelekom-Anleihe'!$B$15</definedName>
    <definedName name="RLZ">'[1]Binomialmodell Darst. A'!$C$12</definedName>
    <definedName name="Spot">'Beisp. 10.4.4'!$B$4</definedName>
    <definedName name="Vola">'[1]Binomialmodell Darst. A'!$C$13</definedName>
    <definedName name="x">'Beisp. 10.4.4'!$B$5</definedName>
    <definedName name="y">#REF!</definedName>
    <definedName name="ZINS">'[1]Binomialmodell Darst. A'!$F$28</definedName>
    <definedName name="Zinstage" localSheetId="22">#REF!</definedName>
    <definedName name="Zinstage">'[3]xTelekom-Anleihe'!$K$45</definedName>
    <definedName name="zz">#REF!</definedName>
  </definedNames>
  <calcPr calcId="145621"/>
</workbook>
</file>

<file path=xl/calcChain.xml><?xml version="1.0" encoding="utf-8"?>
<calcChain xmlns="http://schemas.openxmlformats.org/spreadsheetml/2006/main">
  <c r="D13" i="3" l="1"/>
  <c r="C13" i="3"/>
  <c r="B25" i="3"/>
  <c r="B23" i="3"/>
  <c r="B22" i="3"/>
  <c r="E25" i="3"/>
  <c r="B20" i="3"/>
  <c r="B11" i="3" l="1"/>
  <c r="E17" i="3" l="1"/>
  <c r="B19" i="3"/>
  <c r="B21" i="3"/>
  <c r="B14" i="19"/>
  <c r="D17" i="19" s="1"/>
  <c r="E9" i="19"/>
  <c r="E10" i="19"/>
  <c r="B18" i="19"/>
  <c r="F2" i="21"/>
  <c r="G2" i="21" s="1"/>
  <c r="H2" i="21" s="1"/>
  <c r="I2" i="21"/>
  <c r="J2" i="21" s="1"/>
  <c r="K2" i="21" s="1"/>
  <c r="L2" i="21" s="1"/>
  <c r="M2" i="21" s="1"/>
  <c r="N2" i="21" s="1"/>
  <c r="B10" i="45"/>
  <c r="B9" i="45"/>
  <c r="B12" i="47"/>
  <c r="B13" i="47"/>
  <c r="E12" i="47"/>
  <c r="B15" i="47"/>
  <c r="B21" i="47" s="1"/>
  <c r="B19" i="47"/>
  <c r="C19" i="47"/>
  <c r="C18" i="47"/>
  <c r="B18" i="47"/>
  <c r="A9" i="49"/>
  <c r="L9" i="49"/>
  <c r="A10" i="49"/>
  <c r="D10" i="49" s="1"/>
  <c r="L8" i="49"/>
  <c r="C9" i="49"/>
  <c r="C8" i="49"/>
  <c r="N8" i="49"/>
  <c r="M9" i="49"/>
  <c r="P9" i="49" s="1"/>
  <c r="O8" i="49"/>
  <c r="M8" i="49"/>
  <c r="P8" i="49" s="1"/>
  <c r="D9" i="49"/>
  <c r="G9" i="49" s="1"/>
  <c r="H9" i="49" s="1"/>
  <c r="D8" i="49"/>
  <c r="G8" i="49" s="1"/>
  <c r="H8" i="49" s="1"/>
  <c r="E8" i="49"/>
  <c r="E9" i="49" s="1"/>
  <c r="I9" i="49" s="1"/>
  <c r="J9" i="49" s="1"/>
  <c r="F9" i="49"/>
  <c r="E9" i="50"/>
  <c r="B5" i="50"/>
  <c r="C5" i="50"/>
  <c r="B12" i="50" s="1"/>
  <c r="D5" i="50"/>
  <c r="E5" i="50"/>
  <c r="F5" i="50"/>
  <c r="C13" i="52"/>
  <c r="C24" i="52"/>
  <c r="A33" i="52" s="1"/>
  <c r="C26" i="52"/>
  <c r="A34" i="52"/>
  <c r="C20" i="52"/>
  <c r="A32" i="52"/>
  <c r="C23" i="52"/>
  <c r="C22" i="52"/>
  <c r="B34" i="52"/>
  <c r="C14" i="52"/>
  <c r="C15" i="52"/>
  <c r="C21" i="52"/>
  <c r="E25" i="52"/>
  <c r="B21" i="35"/>
  <c r="B24" i="35"/>
  <c r="B11" i="35"/>
  <c r="B13" i="35" s="1"/>
  <c r="B15" i="36"/>
  <c r="B20" i="36"/>
  <c r="B8" i="36"/>
  <c r="E20" i="37"/>
  <c r="E14" i="37"/>
  <c r="E15" i="37"/>
  <c r="E22" i="37" s="1"/>
  <c r="E23" i="37"/>
  <c r="E24" i="37"/>
  <c r="E25" i="37" s="1"/>
  <c r="B20" i="37"/>
  <c r="B14" i="37"/>
  <c r="B22" i="37"/>
  <c r="B24" i="37" s="1"/>
  <c r="B25" i="37" s="1"/>
  <c r="B23" i="37"/>
  <c r="D19" i="37"/>
  <c r="D13" i="37"/>
  <c r="B9" i="37"/>
  <c r="B15" i="37"/>
  <c r="B17" i="37"/>
  <c r="B25" i="38"/>
  <c r="B30" i="38"/>
  <c r="B29" i="38"/>
  <c r="B24" i="38"/>
  <c r="B28" i="38" s="1"/>
  <c r="B32" i="38" s="1"/>
  <c r="D6" i="38"/>
  <c r="E6" i="38"/>
  <c r="D7" i="38"/>
  <c r="E7" i="38"/>
  <c r="D8" i="38"/>
  <c r="E8" i="38"/>
  <c r="D9" i="38"/>
  <c r="E9" i="38"/>
  <c r="E10" i="38"/>
  <c r="E11" i="38"/>
  <c r="E12" i="38"/>
  <c r="C13" i="38"/>
  <c r="C14" i="38"/>
  <c r="E14" i="38"/>
  <c r="C15" i="38"/>
  <c r="E15" i="38" s="1"/>
  <c r="C16" i="38"/>
  <c r="E16" i="38"/>
  <c r="C17" i="38"/>
  <c r="C18" i="38"/>
  <c r="D18" i="38" s="1"/>
  <c r="E18" i="38"/>
  <c r="E5" i="38"/>
  <c r="D14" i="38"/>
  <c r="D15" i="38"/>
  <c r="D16" i="38"/>
  <c r="D10" i="38"/>
  <c r="D11" i="38"/>
  <c r="D12" i="38"/>
  <c r="D5" i="38"/>
  <c r="D12" i="40"/>
  <c r="E12" i="40"/>
  <c r="D13" i="40"/>
  <c r="E13" i="40"/>
  <c r="D11" i="40"/>
  <c r="E11" i="40"/>
  <c r="I12" i="41"/>
  <c r="K12" i="41"/>
  <c r="I13" i="41"/>
  <c r="K13" i="41"/>
  <c r="I14" i="41"/>
  <c r="K14" i="41"/>
  <c r="I11" i="41"/>
  <c r="K11" i="41"/>
  <c r="L12" i="41"/>
  <c r="M12" i="41"/>
  <c r="J12" i="41"/>
  <c r="N12" i="41"/>
  <c r="J13" i="41"/>
  <c r="L14" i="41"/>
  <c r="M14" i="41"/>
  <c r="J14" i="41"/>
  <c r="N14" i="41"/>
  <c r="J11" i="41"/>
  <c r="M10" i="41"/>
  <c r="L10" i="41"/>
  <c r="K10" i="41"/>
  <c r="I12" i="42"/>
  <c r="I13" i="42"/>
  <c r="M13" i="42" s="1"/>
  <c r="K13" i="42"/>
  <c r="I14" i="42"/>
  <c r="I11" i="42"/>
  <c r="M11" i="42" s="1"/>
  <c r="K11" i="42"/>
  <c r="N11" i="42" s="1"/>
  <c r="L12" i="42"/>
  <c r="L13" i="42"/>
  <c r="J13" i="42"/>
  <c r="N13" i="42"/>
  <c r="L14" i="42"/>
  <c r="L11" i="42"/>
  <c r="J11" i="42"/>
  <c r="M10" i="42"/>
  <c r="L10" i="42"/>
  <c r="K10" i="42"/>
  <c r="I12" i="43"/>
  <c r="J12" i="43" s="1"/>
  <c r="K12" i="43"/>
  <c r="I13" i="43"/>
  <c r="K13" i="43"/>
  <c r="I14" i="43"/>
  <c r="J14" i="43" s="1"/>
  <c r="K14" i="43"/>
  <c r="I11" i="43"/>
  <c r="K11" i="43"/>
  <c r="L12" i="43"/>
  <c r="M12" i="43"/>
  <c r="L13" i="43"/>
  <c r="M13" i="43"/>
  <c r="J13" i="43"/>
  <c r="L14" i="43"/>
  <c r="M14" i="43"/>
  <c r="L11" i="43"/>
  <c r="N11" i="43" s="1"/>
  <c r="M11" i="43"/>
  <c r="J11" i="43"/>
  <c r="M10" i="43"/>
  <c r="L10" i="43"/>
  <c r="K10" i="43"/>
  <c r="G8" i="44"/>
  <c r="G4" i="44"/>
  <c r="E4" i="44"/>
  <c r="F8" i="44"/>
  <c r="B4" i="44"/>
  <c r="D4" i="44"/>
  <c r="F6" i="44"/>
  <c r="F7" i="44" s="1"/>
  <c r="D7" i="44" s="1"/>
  <c r="D5" i="44"/>
  <c r="D6" i="44"/>
  <c r="G5" i="44"/>
  <c r="G7" i="44"/>
  <c r="E6" i="44"/>
  <c r="H5" i="44"/>
  <c r="F9" i="1"/>
  <c r="B9" i="1"/>
  <c r="C9" i="1" s="1"/>
  <c r="E9" i="1"/>
  <c r="A10" i="1"/>
  <c r="B10" i="1" s="1"/>
  <c r="Q10" i="1" s="1"/>
  <c r="A11" i="1"/>
  <c r="A12" i="1" s="1"/>
  <c r="D11" i="1"/>
  <c r="D13" i="1"/>
  <c r="D15" i="1"/>
  <c r="D17" i="1"/>
  <c r="G12" i="1"/>
  <c r="G9" i="1"/>
  <c r="M9" i="1"/>
  <c r="N7" i="1"/>
  <c r="Q7" i="1"/>
  <c r="D19" i="1"/>
  <c r="D21" i="1"/>
  <c r="D23" i="1"/>
  <c r="D25" i="1"/>
  <c r="D27" i="1"/>
  <c r="O9" i="1"/>
  <c r="P9" i="1" s="1"/>
  <c r="H9" i="1"/>
  <c r="R9" i="1"/>
  <c r="I9" i="1"/>
  <c r="P39" i="1"/>
  <c r="Q9" i="1"/>
  <c r="L9" i="1"/>
  <c r="J9" i="1"/>
  <c r="K12" i="1"/>
  <c r="K14" i="1"/>
  <c r="K16" i="1"/>
  <c r="K18" i="1"/>
  <c r="K20" i="1"/>
  <c r="K22" i="1"/>
  <c r="K24" i="1"/>
  <c r="K26" i="1"/>
  <c r="K28" i="1"/>
  <c r="K29" i="1"/>
  <c r="K31" i="1"/>
  <c r="K33" i="1"/>
  <c r="K36" i="1"/>
  <c r="K38" i="1"/>
  <c r="K10" i="1"/>
  <c r="B13" i="3"/>
  <c r="E5" i="4"/>
  <c r="D12" i="5"/>
  <c r="D10" i="5"/>
  <c r="D11" i="5"/>
  <c r="D14" i="5"/>
  <c r="C9" i="5"/>
  <c r="C14" i="5"/>
  <c r="B9" i="5"/>
  <c r="B16" i="5"/>
  <c r="C24" i="6"/>
  <c r="A33" i="6"/>
  <c r="C26" i="6"/>
  <c r="A34" i="6"/>
  <c r="C20" i="6"/>
  <c r="A32" i="6"/>
  <c r="C23" i="6"/>
  <c r="C22" i="6"/>
  <c r="E26" i="6"/>
  <c r="B33" i="6"/>
  <c r="C13" i="6"/>
  <c r="C14" i="6"/>
  <c r="C15" i="6"/>
  <c r="C21" i="6"/>
  <c r="E25" i="6"/>
  <c r="E28" i="6"/>
  <c r="D15" i="7"/>
  <c r="B4" i="7"/>
  <c r="E4" i="7"/>
  <c r="B3" i="7"/>
  <c r="D12" i="7"/>
  <c r="E12" i="7"/>
  <c r="D13" i="7"/>
  <c r="E13" i="7"/>
  <c r="D14" i="7"/>
  <c r="E14" i="7"/>
  <c r="E15" i="7"/>
  <c r="E16" i="7"/>
  <c r="E17" i="7"/>
  <c r="E18" i="7"/>
  <c r="C19" i="7"/>
  <c r="E19" i="7"/>
  <c r="C20" i="7"/>
  <c r="E20" i="7"/>
  <c r="C21" i="7"/>
  <c r="D21" i="7" s="1"/>
  <c r="E21" i="7"/>
  <c r="C22" i="7"/>
  <c r="E22" i="7"/>
  <c r="C23" i="7"/>
  <c r="E23" i="7"/>
  <c r="C24" i="7"/>
  <c r="E24" i="7"/>
  <c r="E11" i="7"/>
  <c r="D23" i="7"/>
  <c r="D20" i="7"/>
  <c r="D22" i="7"/>
  <c r="D24" i="7"/>
  <c r="D16" i="7"/>
  <c r="D17" i="7"/>
  <c r="D18" i="7"/>
  <c r="D19" i="7"/>
  <c r="D11" i="7"/>
  <c r="B8" i="8"/>
  <c r="E18" i="9"/>
  <c r="B22" i="9"/>
  <c r="E6" i="9"/>
  <c r="B10" i="9"/>
  <c r="B34" i="9"/>
  <c r="B5" i="10"/>
  <c r="B11" i="10" s="1"/>
  <c r="B9" i="10"/>
  <c r="B12" i="11"/>
  <c r="B15" i="11"/>
  <c r="D12" i="12"/>
  <c r="D27" i="12"/>
  <c r="E27" i="12"/>
  <c r="D13" i="12"/>
  <c r="D26" i="12"/>
  <c r="E26" i="12"/>
  <c r="F27" i="12"/>
  <c r="F26" i="12"/>
  <c r="B16" i="12"/>
  <c r="F12" i="12"/>
  <c r="D11" i="12"/>
  <c r="F11" i="12"/>
  <c r="B14" i="12"/>
  <c r="E11" i="12"/>
  <c r="E13" i="12"/>
  <c r="E12" i="12"/>
  <c r="I12" i="13"/>
  <c r="K12" i="13"/>
  <c r="I13" i="13"/>
  <c r="L13" i="13" s="1"/>
  <c r="K13" i="13"/>
  <c r="I14" i="13"/>
  <c r="K14" i="13"/>
  <c r="I11" i="13"/>
  <c r="L11" i="13" s="1"/>
  <c r="K11" i="13"/>
  <c r="L12" i="13"/>
  <c r="M12" i="13"/>
  <c r="J12" i="13"/>
  <c r="N12" i="13"/>
  <c r="J13" i="13"/>
  <c r="L14" i="13"/>
  <c r="M14" i="13"/>
  <c r="J14" i="13"/>
  <c r="N14" i="13"/>
  <c r="J11" i="13"/>
  <c r="M10" i="13"/>
  <c r="L10" i="13"/>
  <c r="K10" i="13"/>
  <c r="I12" i="14"/>
  <c r="I13" i="14"/>
  <c r="I14" i="14"/>
  <c r="I11" i="14"/>
  <c r="K10" i="14"/>
  <c r="B9" i="15"/>
  <c r="B10" i="15" s="1"/>
  <c r="B14" i="15"/>
  <c r="B13" i="15"/>
  <c r="B12" i="15"/>
  <c r="A21" i="16"/>
  <c r="B19" i="16"/>
  <c r="C19" i="16"/>
  <c r="D19" i="16"/>
  <c r="A19" i="16"/>
  <c r="D6" i="16"/>
  <c r="B20" i="16"/>
  <c r="D20" i="16" s="1"/>
  <c r="D11" i="16"/>
  <c r="B21" i="16" s="1"/>
  <c r="F11" i="16"/>
  <c r="B16" i="16"/>
  <c r="D16" i="16"/>
  <c r="B17" i="16"/>
  <c r="B6" i="16"/>
  <c r="F13" i="16"/>
  <c r="D13" i="16"/>
  <c r="B12" i="17"/>
  <c r="D15" i="17"/>
  <c r="F12" i="17" s="1"/>
  <c r="F18" i="17"/>
  <c r="H21" i="17" s="1"/>
  <c r="H22" i="17" s="1"/>
  <c r="B6" i="17"/>
  <c r="H9" i="17"/>
  <c r="H10" i="17"/>
  <c r="D9" i="17"/>
  <c r="F6" i="17" s="1"/>
  <c r="H3" i="17" s="1"/>
  <c r="H4" i="17" s="1"/>
  <c r="B7" i="17"/>
  <c r="H24" i="17" s="1"/>
  <c r="D24" i="17" s="1"/>
  <c r="F24" i="17" s="1"/>
  <c r="B8" i="17"/>
  <c r="C11" i="17" s="1"/>
  <c r="C14" i="17" s="1"/>
  <c r="C26" i="17"/>
  <c r="E18" i="17"/>
  <c r="G21" i="17"/>
  <c r="G26" i="17"/>
  <c r="E26" i="17"/>
  <c r="C16" i="18"/>
  <c r="I42" i="18" s="1"/>
  <c r="E13" i="18"/>
  <c r="J42" i="18" s="1"/>
  <c r="G10" i="18"/>
  <c r="K42" i="18" s="1"/>
  <c r="I7" i="18"/>
  <c r="L42" i="18"/>
  <c r="K4" i="18"/>
  <c r="M42" i="18"/>
  <c r="M7" i="18"/>
  <c r="N42" i="18"/>
  <c r="I43" i="18"/>
  <c r="K43" i="18"/>
  <c r="K10" i="18"/>
  <c r="M43" i="18"/>
  <c r="N43" i="18"/>
  <c r="I44" i="18"/>
  <c r="J44" i="18"/>
  <c r="K44" i="18"/>
  <c r="M44" i="18"/>
  <c r="M13" i="18"/>
  <c r="N44" i="18"/>
  <c r="I45" i="18"/>
  <c r="K45" i="18"/>
  <c r="I13" i="18"/>
  <c r="L45" i="18" s="1"/>
  <c r="M45" i="18"/>
  <c r="N45" i="18"/>
  <c r="I46" i="18"/>
  <c r="J46" i="18"/>
  <c r="P46" i="18" s="1"/>
  <c r="K46" i="18"/>
  <c r="L46" i="18"/>
  <c r="M46" i="18"/>
  <c r="N46" i="18"/>
  <c r="I47" i="18"/>
  <c r="K47" i="18"/>
  <c r="L47" i="18"/>
  <c r="K16" i="18"/>
  <c r="M47" i="18" s="1"/>
  <c r="N47" i="18"/>
  <c r="I48" i="18"/>
  <c r="K48" i="18"/>
  <c r="L48" i="18"/>
  <c r="M48" i="18"/>
  <c r="M19" i="18"/>
  <c r="N48" i="18"/>
  <c r="I49" i="18"/>
  <c r="G16" i="18"/>
  <c r="K49" i="18" s="1"/>
  <c r="L49" i="18"/>
  <c r="M49" i="18"/>
  <c r="N49" i="18"/>
  <c r="I50" i="18"/>
  <c r="L50" i="18"/>
  <c r="M50" i="18"/>
  <c r="I51" i="18"/>
  <c r="L51" i="18"/>
  <c r="M51" i="18"/>
  <c r="I52" i="18"/>
  <c r="L52" i="18"/>
  <c r="M52" i="18"/>
  <c r="N52" i="18"/>
  <c r="I53" i="18"/>
  <c r="J53" i="18"/>
  <c r="K53" i="18"/>
  <c r="I19" i="18"/>
  <c r="L53" i="18"/>
  <c r="M53" i="18"/>
  <c r="N53" i="18"/>
  <c r="I54" i="18"/>
  <c r="K54" i="18"/>
  <c r="L54" i="18"/>
  <c r="M54" i="18"/>
  <c r="N54" i="18"/>
  <c r="I55" i="18"/>
  <c r="L55" i="18"/>
  <c r="K22" i="18"/>
  <c r="M55" i="18"/>
  <c r="N55" i="18"/>
  <c r="I56" i="18"/>
  <c r="K56" i="18"/>
  <c r="L56" i="18"/>
  <c r="M56" i="18"/>
  <c r="M25" i="18"/>
  <c r="N56" i="18"/>
  <c r="I57" i="18"/>
  <c r="E19" i="18"/>
  <c r="J59" i="18" s="1"/>
  <c r="J57" i="18"/>
  <c r="L57" i="18"/>
  <c r="M57" i="18"/>
  <c r="N57" i="18"/>
  <c r="I58" i="18"/>
  <c r="J58" i="18"/>
  <c r="K58" i="18"/>
  <c r="L58" i="18"/>
  <c r="M58" i="18"/>
  <c r="I59" i="18"/>
  <c r="L59" i="18"/>
  <c r="M59" i="18"/>
  <c r="I60" i="18"/>
  <c r="J60" i="18"/>
  <c r="L60" i="18"/>
  <c r="M60" i="18"/>
  <c r="N60" i="18"/>
  <c r="I61" i="18"/>
  <c r="J61" i="18"/>
  <c r="L61" i="18"/>
  <c r="M61" i="18"/>
  <c r="N61" i="18"/>
  <c r="I62" i="18"/>
  <c r="J62" i="18"/>
  <c r="L62" i="18"/>
  <c r="M62" i="18"/>
  <c r="N62" i="18"/>
  <c r="I63" i="18"/>
  <c r="J63" i="18"/>
  <c r="L63" i="18"/>
  <c r="M63" i="18"/>
  <c r="N63" i="18"/>
  <c r="I64" i="18"/>
  <c r="J64" i="18"/>
  <c r="L64" i="18"/>
  <c r="M64" i="18"/>
  <c r="N64" i="18"/>
  <c r="I65" i="18"/>
  <c r="J65" i="18"/>
  <c r="G22" i="18"/>
  <c r="L65" i="18"/>
  <c r="M65" i="18"/>
  <c r="N65" i="18"/>
  <c r="I66" i="18"/>
  <c r="J66" i="18"/>
  <c r="K66" i="18"/>
  <c r="L66" i="18"/>
  <c r="M66" i="18"/>
  <c r="N66" i="18"/>
  <c r="P66" i="18"/>
  <c r="I67" i="18"/>
  <c r="J67" i="18"/>
  <c r="K67" i="18"/>
  <c r="L67" i="18"/>
  <c r="P67" i="18" s="1"/>
  <c r="M67" i="18"/>
  <c r="N67" i="18"/>
  <c r="I68" i="18"/>
  <c r="J68" i="18"/>
  <c r="L68" i="18"/>
  <c r="M68" i="18"/>
  <c r="N68" i="18"/>
  <c r="I69" i="18"/>
  <c r="J69" i="18"/>
  <c r="I25" i="18"/>
  <c r="L71" i="18" s="1"/>
  <c r="L69" i="18"/>
  <c r="M69" i="18"/>
  <c r="N69" i="18"/>
  <c r="I70" i="18"/>
  <c r="J70" i="18"/>
  <c r="L70" i="18"/>
  <c r="M70" i="18"/>
  <c r="N70" i="18"/>
  <c r="I71" i="18"/>
  <c r="J71" i="18"/>
  <c r="K71" i="18"/>
  <c r="K28" i="18"/>
  <c r="M71" i="18"/>
  <c r="N71" i="18"/>
  <c r="I72" i="18"/>
  <c r="J72" i="18"/>
  <c r="K72" i="18"/>
  <c r="M72" i="18"/>
  <c r="M31" i="18"/>
  <c r="L27" i="18" s="1"/>
  <c r="L30" i="18" s="1"/>
  <c r="N72" i="18"/>
  <c r="I41" i="18"/>
  <c r="K41" i="18"/>
  <c r="M41" i="18"/>
  <c r="M1" i="18"/>
  <c r="M2" i="18" s="1"/>
  <c r="J12" i="18"/>
  <c r="M14" i="18"/>
  <c r="K36" i="18"/>
  <c r="J15" i="18"/>
  <c r="L15" i="18"/>
  <c r="L18" i="18" s="1"/>
  <c r="M20" i="18"/>
  <c r="I36" i="18"/>
  <c r="J18" i="18"/>
  <c r="J21" i="18" s="1"/>
  <c r="C55" i="18" s="1"/>
  <c r="L21" i="18"/>
  <c r="L24" i="18"/>
  <c r="M26" i="18"/>
  <c r="K23" i="18" s="1"/>
  <c r="G36" i="18"/>
  <c r="J24" i="18"/>
  <c r="M32" i="18"/>
  <c r="K29" i="18"/>
  <c r="E36" i="18"/>
  <c r="J6" i="18"/>
  <c r="L3" i="18"/>
  <c r="L6" i="18" s="1"/>
  <c r="C49" i="18"/>
  <c r="C47" i="18"/>
  <c r="C36" i="18"/>
  <c r="B24" i="19"/>
  <c r="B8" i="19"/>
  <c r="B9" i="19"/>
  <c r="B10" i="19"/>
  <c r="B27" i="19"/>
  <c r="B26" i="19"/>
  <c r="B13" i="19"/>
  <c r="B7" i="19"/>
  <c r="S2" i="21"/>
  <c r="J8" i="21"/>
  <c r="K8" i="21"/>
  <c r="L8" i="21"/>
  <c r="M8" i="21"/>
  <c r="O8" i="21"/>
  <c r="P8" i="21"/>
  <c r="Q8" i="21"/>
  <c r="R8" i="21"/>
  <c r="F8" i="21"/>
  <c r="G8" i="21"/>
  <c r="H8" i="21"/>
  <c r="I8" i="21"/>
  <c r="E8" i="21"/>
  <c r="E5" i="21"/>
  <c r="E6" i="21" s="1"/>
  <c r="E4" i="21"/>
  <c r="E3" i="21"/>
  <c r="G3" i="21"/>
  <c r="H3" i="21"/>
  <c r="I3" i="21"/>
  <c r="G4" i="21"/>
  <c r="H4" i="21"/>
  <c r="I4" i="21"/>
  <c r="G5" i="21"/>
  <c r="H5" i="21"/>
  <c r="H6" i="21" s="1"/>
  <c r="I5" i="21"/>
  <c r="I6" i="21" s="1"/>
  <c r="G6" i="21"/>
  <c r="J3" i="21"/>
  <c r="J4" i="21"/>
  <c r="J5" i="21"/>
  <c r="J6" i="21"/>
  <c r="M5" i="21"/>
  <c r="M6" i="21" s="1"/>
  <c r="O5" i="21"/>
  <c r="O6" i="21"/>
  <c r="P5" i="21"/>
  <c r="P6" i="21" s="1"/>
  <c r="Q5" i="21"/>
  <c r="Q6" i="21"/>
  <c r="R5" i="21"/>
  <c r="R6" i="21" s="1"/>
  <c r="S5" i="21"/>
  <c r="S6" i="21"/>
  <c r="K5" i="21"/>
  <c r="K6" i="21" s="1"/>
  <c r="L5" i="21"/>
  <c r="L6" i="21"/>
  <c r="F5" i="21"/>
  <c r="F6" i="21" s="1"/>
  <c r="F9" i="21"/>
  <c r="F10" i="21"/>
  <c r="B9" i="21"/>
  <c r="B8" i="21"/>
  <c r="K4" i="21"/>
  <c r="L4" i="21"/>
  <c r="M4" i="21"/>
  <c r="O4" i="21"/>
  <c r="P4" i="21"/>
  <c r="Q4" i="21"/>
  <c r="R4" i="21"/>
  <c r="S4" i="21"/>
  <c r="F4" i="21"/>
  <c r="R3" i="21"/>
  <c r="S3" i="21"/>
  <c r="P3" i="21"/>
  <c r="Q3" i="21"/>
  <c r="K3" i="21"/>
  <c r="L3" i="21"/>
  <c r="M3" i="21"/>
  <c r="O3" i="21"/>
  <c r="F3" i="21"/>
  <c r="B14" i="24"/>
  <c r="E6" i="24" s="1"/>
  <c r="B13" i="24"/>
  <c r="B16" i="24"/>
  <c r="B22" i="24" s="1"/>
  <c r="B20" i="24"/>
  <c r="C20" i="24"/>
  <c r="C19" i="24"/>
  <c r="B19" i="24"/>
  <c r="B14" i="25"/>
  <c r="B13" i="25"/>
  <c r="E8" i="25" s="1"/>
  <c r="E6" i="25"/>
  <c r="C9" i="26"/>
  <c r="C14" i="26" s="1"/>
  <c r="C11" i="26"/>
  <c r="D9" i="26"/>
  <c r="D11" i="26"/>
  <c r="E9" i="26"/>
  <c r="E14" i="26" s="1"/>
  <c r="F9" i="26"/>
  <c r="F14" i="26" s="1"/>
  <c r="B9" i="26"/>
  <c r="B14" i="26" s="1"/>
  <c r="B11" i="26"/>
  <c r="E11" i="26"/>
  <c r="F11" i="26"/>
  <c r="B12" i="26"/>
  <c r="C12" i="26" s="1"/>
  <c r="D12" i="26"/>
  <c r="E12" i="26"/>
  <c r="F12" i="26" s="1"/>
  <c r="A15" i="27"/>
  <c r="B15" i="27"/>
  <c r="A16" i="27"/>
  <c r="B14" i="27"/>
  <c r="E15" i="27"/>
  <c r="D14" i="27"/>
  <c r="J14" i="27" s="1"/>
  <c r="A14" i="32"/>
  <c r="A15" i="32" s="1"/>
  <c r="A16" i="32" s="1"/>
  <c r="B16" i="32" s="1"/>
  <c r="N16" i="32"/>
  <c r="B13" i="32"/>
  <c r="F15" i="32"/>
  <c r="O15" i="32" s="1"/>
  <c r="F13" i="32"/>
  <c r="Q13" i="32"/>
  <c r="O13" i="32"/>
  <c r="E13" i="32"/>
  <c r="I13" i="32"/>
  <c r="S16" i="32"/>
  <c r="S13" i="32"/>
  <c r="C36" i="28"/>
  <c r="C40" i="28" s="1"/>
  <c r="C44" i="28"/>
  <c r="C48" i="28" s="1"/>
  <c r="B32" i="28"/>
  <c r="B6" i="28"/>
  <c r="B15" i="28"/>
  <c r="B24" i="28"/>
  <c r="I23" i="28"/>
  <c r="C21" i="28"/>
  <c r="C24" i="28"/>
  <c r="C22" i="28" s="1"/>
  <c r="I22" i="28"/>
  <c r="B21" i="28"/>
  <c r="I21" i="28"/>
  <c r="I20" i="28"/>
  <c r="C19" i="28"/>
  <c r="C20" i="28"/>
  <c r="C12" i="28"/>
  <c r="B17" i="28"/>
  <c r="B18" i="28"/>
  <c r="B19" i="28"/>
  <c r="I19" i="28"/>
  <c r="I18" i="28"/>
  <c r="C18" i="28"/>
  <c r="I17" i="28"/>
  <c r="C17" i="28"/>
  <c r="B16" i="28"/>
  <c r="I16" i="28"/>
  <c r="C16" i="28"/>
  <c r="I15" i="28"/>
  <c r="C15" i="28"/>
  <c r="B10" i="28"/>
  <c r="B12" i="28"/>
  <c r="B13" i="28"/>
  <c r="B14" i="28"/>
  <c r="I14" i="28"/>
  <c r="C14" i="28"/>
  <c r="I12" i="28"/>
  <c r="I13" i="28"/>
  <c r="C13" i="28"/>
  <c r="B11" i="28"/>
  <c r="I11" i="28"/>
  <c r="C11" i="28"/>
  <c r="E10" i="28"/>
  <c r="D10" i="28"/>
  <c r="F10" i="28" s="1"/>
  <c r="C10" i="28"/>
  <c r="D11" i="28"/>
  <c r="E11" i="28" s="1"/>
  <c r="B44" i="28"/>
  <c r="A43" i="28"/>
  <c r="A45" i="28" s="1"/>
  <c r="B45" i="28" s="1"/>
  <c r="E44" i="28" s="1"/>
  <c r="B43" i="28"/>
  <c r="B36" i="28"/>
  <c r="I10" i="28"/>
  <c r="A35" i="28"/>
  <c r="A37" i="28" s="1"/>
  <c r="B37" i="28" s="1"/>
  <c r="B35" i="28"/>
  <c r="F35" i="28" s="1"/>
  <c r="B40" i="28"/>
  <c r="A39" i="28" s="1"/>
  <c r="A41" i="28" s="1"/>
  <c r="B41" i="28" s="1"/>
  <c r="B39" i="28"/>
  <c r="F39" i="28" s="1"/>
  <c r="A7" i="28"/>
  <c r="B7" i="28" s="1"/>
  <c r="A8" i="28"/>
  <c r="B8" i="28" s="1"/>
  <c r="B9" i="28"/>
  <c r="D9" i="28" s="1"/>
  <c r="F9" i="28" s="1"/>
  <c r="I9" i="28"/>
  <c r="C9" i="28"/>
  <c r="A9" i="33"/>
  <c r="L9" i="33" s="1"/>
  <c r="L8" i="33"/>
  <c r="M8" i="33" s="1"/>
  <c r="C8" i="33"/>
  <c r="N8" i="33"/>
  <c r="O8" i="33"/>
  <c r="P8" i="33" s="1"/>
  <c r="D8" i="33"/>
  <c r="G8" i="33"/>
  <c r="E8" i="33"/>
  <c r="E9" i="33"/>
  <c r="I8" i="33"/>
  <c r="J8" i="33" s="1"/>
  <c r="H8" i="33"/>
  <c r="F8" i="33"/>
  <c r="A12" i="34"/>
  <c r="C11" i="34"/>
  <c r="C13" i="34" s="1"/>
  <c r="C16" i="34" s="1"/>
  <c r="C10" i="34"/>
  <c r="C11" i="29"/>
  <c r="D11" i="29" s="1"/>
  <c r="C12" i="29"/>
  <c r="D12" i="29"/>
  <c r="E12" i="29" s="1"/>
  <c r="C13" i="29"/>
  <c r="D13" i="29" s="1"/>
  <c r="C14" i="29"/>
  <c r="D14" i="29"/>
  <c r="E14" i="29" s="1"/>
  <c r="C15" i="29"/>
  <c r="D15" i="29" s="1"/>
  <c r="C10" i="29"/>
  <c r="D10" i="29" s="1"/>
  <c r="C12" i="30"/>
  <c r="D12" i="30" s="1"/>
  <c r="E12" i="30" s="1"/>
  <c r="C13" i="30"/>
  <c r="D13" i="30"/>
  <c r="E13" i="30" s="1"/>
  <c r="C14" i="30"/>
  <c r="D14" i="30" s="1"/>
  <c r="E14" i="30" s="1"/>
  <c r="C15" i="30"/>
  <c r="D15" i="30"/>
  <c r="E15" i="30" s="1"/>
  <c r="C11" i="30"/>
  <c r="D11" i="30" s="1"/>
  <c r="E11" i="30" s="1"/>
  <c r="C10" i="30"/>
  <c r="D10" i="30" s="1"/>
  <c r="B16" i="31"/>
  <c r="B22" i="31" s="1"/>
  <c r="B17" i="31"/>
  <c r="B20" i="31"/>
  <c r="D17" i="31"/>
  <c r="C14" i="22"/>
  <c r="C16" i="22" s="1"/>
  <c r="D10" i="22"/>
  <c r="D14" i="22"/>
  <c r="D15" i="22" s="1"/>
  <c r="D16" i="22"/>
  <c r="D17" i="22" s="1"/>
  <c r="E14" i="22"/>
  <c r="E15" i="22" s="1"/>
  <c r="B14" i="22"/>
  <c r="B15" i="22" s="1"/>
  <c r="B16" i="22"/>
  <c r="B17" i="22" s="1"/>
  <c r="C20" i="22"/>
  <c r="C25" i="22"/>
  <c r="C30" i="22" s="1"/>
  <c r="D25" i="22"/>
  <c r="D30" i="22" s="1"/>
  <c r="B25" i="22"/>
  <c r="B30" i="22" s="1"/>
  <c r="D27" i="22"/>
  <c r="C27" i="22"/>
  <c r="G20" i="22"/>
  <c r="G10" i="22"/>
  <c r="G14" i="22"/>
  <c r="G15" i="22" s="1"/>
  <c r="D20" i="22"/>
  <c r="E20" i="22"/>
  <c r="B20" i="22"/>
  <c r="F8"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B119" i="20"/>
  <c r="B120" i="20"/>
  <c r="B121" i="20"/>
  <c r="B122" i="20"/>
  <c r="B123" i="20"/>
  <c r="B124" i="20"/>
  <c r="B125" i="20"/>
  <c r="B126" i="20"/>
  <c r="B127" i="20"/>
  <c r="B128" i="20"/>
  <c r="B129" i="20"/>
  <c r="B130" i="20"/>
  <c r="B131" i="20"/>
  <c r="B132" i="20"/>
  <c r="B133" i="20"/>
  <c r="B134" i="20"/>
  <c r="B135" i="20"/>
  <c r="B136" i="20"/>
  <c r="B137" i="20"/>
  <c r="B138" i="20"/>
  <c r="B139" i="20"/>
  <c r="B140" i="20"/>
  <c r="B141" i="20"/>
  <c r="B142" i="20"/>
  <c r="B143" i="20"/>
  <c r="B144" i="20"/>
  <c r="B145" i="20"/>
  <c r="B146" i="20"/>
  <c r="B147" i="20"/>
  <c r="B148" i="20"/>
  <c r="B149" i="20"/>
  <c r="B150" i="20"/>
  <c r="B151" i="20"/>
  <c r="B152" i="20"/>
  <c r="B153" i="20"/>
  <c r="B154" i="20"/>
  <c r="B155" i="20"/>
  <c r="B156" i="20"/>
  <c r="B157" i="20"/>
  <c r="B158" i="20"/>
  <c r="B159" i="20"/>
  <c r="B160" i="20"/>
  <c r="B161" i="20"/>
  <c r="B162" i="20"/>
  <c r="B163" i="20"/>
  <c r="B164" i="20"/>
  <c r="B165" i="20"/>
  <c r="B166" i="20"/>
  <c r="B167" i="20"/>
  <c r="B168" i="20"/>
  <c r="B169" i="20"/>
  <c r="B170" i="20"/>
  <c r="B171" i="20"/>
  <c r="B172" i="20"/>
  <c r="B173" i="20"/>
  <c r="B174" i="20"/>
  <c r="B175" i="20"/>
  <c r="B176" i="20"/>
  <c r="B177" i="20"/>
  <c r="B178" i="20"/>
  <c r="B179" i="20"/>
  <c r="B180" i="20"/>
  <c r="B181" i="20"/>
  <c r="B182" i="20"/>
  <c r="B183" i="20"/>
  <c r="B184" i="20"/>
  <c r="B185" i="20"/>
  <c r="B186" i="20"/>
  <c r="B187" i="20"/>
  <c r="B188" i="20"/>
  <c r="B189" i="20"/>
  <c r="B190" i="20"/>
  <c r="B191" i="20"/>
  <c r="B192" i="20"/>
  <c r="B193" i="20"/>
  <c r="B194" i="20"/>
  <c r="B195" i="20"/>
  <c r="B196" i="20"/>
  <c r="B197" i="20"/>
  <c r="B198" i="20"/>
  <c r="B199" i="20"/>
  <c r="B200" i="20"/>
  <c r="B201" i="20"/>
  <c r="B202" i="20"/>
  <c r="B203" i="20"/>
  <c r="B204" i="20"/>
  <c r="B205" i="20"/>
  <c r="B206" i="20"/>
  <c r="B207" i="20"/>
  <c r="B208" i="20"/>
  <c r="B209" i="20"/>
  <c r="B210" i="20"/>
  <c r="B211" i="20"/>
  <c r="B212" i="20"/>
  <c r="B213" i="20"/>
  <c r="B214" i="20"/>
  <c r="B215" i="20"/>
  <c r="C3" i="20"/>
  <c r="A9" i="20" s="1"/>
  <c r="A10" i="20"/>
  <c r="A12" i="20"/>
  <c r="A14" i="20"/>
  <c r="A16" i="20"/>
  <c r="A18" i="20"/>
  <c r="A20" i="20"/>
  <c r="A22" i="20"/>
  <c r="A24" i="20"/>
  <c r="A26" i="20"/>
  <c r="A28" i="20"/>
  <c r="A30" i="20"/>
  <c r="A32" i="20"/>
  <c r="A34" i="20"/>
  <c r="A36" i="20"/>
  <c r="A38" i="20"/>
  <c r="A40" i="20"/>
  <c r="A42" i="20"/>
  <c r="A44" i="20"/>
  <c r="A46" i="20"/>
  <c r="A48" i="20"/>
  <c r="A50" i="20"/>
  <c r="A52" i="20"/>
  <c r="A54" i="20"/>
  <c r="A56" i="20"/>
  <c r="A58" i="20"/>
  <c r="A59" i="20"/>
  <c r="A60" i="20"/>
  <c r="A62" i="20"/>
  <c r="A63" i="20"/>
  <c r="A64" i="20"/>
  <c r="A66" i="20"/>
  <c r="A67" i="20"/>
  <c r="A68" i="20"/>
  <c r="A70" i="20"/>
  <c r="A71" i="20"/>
  <c r="A72" i="20"/>
  <c r="A74" i="20"/>
  <c r="A75" i="20"/>
  <c r="A76" i="20"/>
  <c r="A78" i="20"/>
  <c r="A79" i="20"/>
  <c r="A80" i="20"/>
  <c r="A82" i="20"/>
  <c r="A83" i="20"/>
  <c r="A84" i="20"/>
  <c r="A86" i="20"/>
  <c r="A87" i="20"/>
  <c r="A88" i="20"/>
  <c r="A89" i="20"/>
  <c r="A90" i="20"/>
  <c r="A91" i="20"/>
  <c r="A92" i="20"/>
  <c r="A93" i="20"/>
  <c r="A94" i="20"/>
  <c r="A95" i="20"/>
  <c r="A96" i="20"/>
  <c r="A97" i="20"/>
  <c r="A98" i="20"/>
  <c r="A99" i="20"/>
  <c r="A100" i="20"/>
  <c r="A101" i="20"/>
  <c r="A102" i="20"/>
  <c r="A103" i="20"/>
  <c r="A104" i="20"/>
  <c r="A105" i="20"/>
  <c r="A106" i="20"/>
  <c r="A107" i="20"/>
  <c r="A108" i="20"/>
  <c r="A109" i="20"/>
  <c r="A110" i="20"/>
  <c r="A111" i="20"/>
  <c r="A112" i="20"/>
  <c r="A113" i="20"/>
  <c r="A114" i="20"/>
  <c r="A115" i="20"/>
  <c r="A116" i="20"/>
  <c r="A117" i="20"/>
  <c r="A118" i="20"/>
  <c r="A119" i="20"/>
  <c r="A120" i="20"/>
  <c r="A121" i="20"/>
  <c r="A122" i="20"/>
  <c r="A123" i="20"/>
  <c r="A124" i="20"/>
  <c r="A125" i="20"/>
  <c r="A126" i="20"/>
  <c r="A127" i="20"/>
  <c r="A128" i="20"/>
  <c r="A129" i="20"/>
  <c r="A130" i="20"/>
  <c r="A131" i="20"/>
  <c r="A132" i="20"/>
  <c r="A133" i="20"/>
  <c r="A134" i="20"/>
  <c r="A135" i="20"/>
  <c r="A136" i="20"/>
  <c r="A137" i="20"/>
  <c r="A138" i="20"/>
  <c r="A139" i="20"/>
  <c r="A140" i="20"/>
  <c r="A141" i="20"/>
  <c r="A142" i="20"/>
  <c r="A143" i="20"/>
  <c r="A144" i="20"/>
  <c r="A145" i="20"/>
  <c r="A146" i="20"/>
  <c r="A147" i="20"/>
  <c r="A148" i="20"/>
  <c r="A149" i="20"/>
  <c r="A150" i="20"/>
  <c r="A151" i="20"/>
  <c r="A152" i="20"/>
  <c r="A153" i="20"/>
  <c r="A154" i="20"/>
  <c r="A155" i="20"/>
  <c r="A156" i="20"/>
  <c r="A157" i="20"/>
  <c r="A158" i="20"/>
  <c r="A159" i="20"/>
  <c r="A160" i="20"/>
  <c r="A161" i="20"/>
  <c r="A162" i="20"/>
  <c r="A163" i="20"/>
  <c r="A164" i="20"/>
  <c r="A165" i="20"/>
  <c r="A166" i="20"/>
  <c r="A167" i="20"/>
  <c r="A168" i="20"/>
  <c r="A169" i="20"/>
  <c r="A170" i="20"/>
  <c r="A171" i="20"/>
  <c r="A172" i="20"/>
  <c r="A173" i="20"/>
  <c r="A174" i="20"/>
  <c r="A175" i="20"/>
  <c r="A176" i="20"/>
  <c r="A177" i="20"/>
  <c r="A178" i="20"/>
  <c r="A179" i="20"/>
  <c r="A180" i="20"/>
  <c r="A181" i="20"/>
  <c r="A182" i="20"/>
  <c r="A183" i="20"/>
  <c r="A184" i="20"/>
  <c r="A185" i="20"/>
  <c r="A186" i="20"/>
  <c r="A187" i="20"/>
  <c r="A188" i="20"/>
  <c r="A189" i="20"/>
  <c r="A190" i="20"/>
  <c r="A191" i="20"/>
  <c r="A192" i="20"/>
  <c r="A193" i="20"/>
  <c r="A194" i="20"/>
  <c r="A195" i="20"/>
  <c r="A196" i="20"/>
  <c r="A197" i="20"/>
  <c r="A198" i="20"/>
  <c r="A199" i="20"/>
  <c r="A200" i="20"/>
  <c r="A201" i="20"/>
  <c r="A202" i="20"/>
  <c r="A203" i="20"/>
  <c r="A204" i="20"/>
  <c r="A205" i="20"/>
  <c r="A206" i="20"/>
  <c r="A207" i="20"/>
  <c r="A208" i="20"/>
  <c r="A209" i="20"/>
  <c r="A210" i="20"/>
  <c r="A211" i="20"/>
  <c r="A212" i="20"/>
  <c r="A213" i="20"/>
  <c r="A214" i="20"/>
  <c r="A215" i="20"/>
  <c r="A216" i="20"/>
  <c r="A217" i="20"/>
  <c r="A218" i="20"/>
  <c r="A219" i="20"/>
  <c r="A220" i="20"/>
  <c r="A221" i="20"/>
  <c r="A222" i="20"/>
  <c r="A223" i="20"/>
  <c r="A224" i="20"/>
  <c r="A225" i="20"/>
  <c r="A226" i="20"/>
  <c r="A227" i="20"/>
  <c r="A228" i="20"/>
  <c r="A229" i="20"/>
  <c r="A8" i="20"/>
  <c r="B8" i="20"/>
  <c r="C8" i="20" s="1"/>
  <c r="B9" i="20"/>
  <c r="B10" i="20"/>
  <c r="B11" i="20"/>
  <c r="B12" i="20"/>
  <c r="B13" i="20"/>
  <c r="B14" i="20"/>
  <c r="B15" i="20"/>
  <c r="B16" i="20"/>
  <c r="B17" i="20"/>
  <c r="B18" i="20"/>
  <c r="B19"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A230" i="20"/>
  <c r="A231" i="20"/>
  <c r="A232" i="20"/>
  <c r="A233" i="20"/>
  <c r="A234" i="20"/>
  <c r="A235" i="20"/>
  <c r="A236" i="20"/>
  <c r="A237" i="20"/>
  <c r="A238" i="20"/>
  <c r="A239" i="20"/>
  <c r="A240" i="20"/>
  <c r="A241" i="20"/>
  <c r="A242" i="20"/>
  <c r="A243" i="20"/>
  <c r="A244" i="20"/>
  <c r="A245" i="20"/>
  <c r="A246" i="20"/>
  <c r="A247" i="20"/>
  <c r="A248" i="20"/>
  <c r="A249" i="20"/>
  <c r="A250" i="20"/>
  <c r="A251" i="20"/>
  <c r="A252" i="20"/>
  <c r="A253" i="20"/>
  <c r="A254" i="20"/>
  <c r="A255" i="20"/>
  <c r="A256" i="20"/>
  <c r="A257" i="20"/>
  <c r="A258" i="20"/>
  <c r="A259" i="20"/>
  <c r="A260" i="20"/>
  <c r="A261" i="20"/>
  <c r="A262" i="20"/>
  <c r="A263" i="20"/>
  <c r="A264" i="20"/>
  <c r="A265" i="20"/>
  <c r="A266" i="20"/>
  <c r="A267" i="20"/>
  <c r="A268" i="20"/>
  <c r="A269" i="20"/>
  <c r="A270" i="20"/>
  <c r="A271" i="20"/>
  <c r="A272" i="20"/>
  <c r="A273" i="20"/>
  <c r="A274" i="20"/>
  <c r="A275" i="20"/>
  <c r="A276" i="20"/>
  <c r="A277" i="20"/>
  <c r="A278" i="20"/>
  <c r="A279" i="20"/>
  <c r="A280" i="20"/>
  <c r="A281" i="20"/>
  <c r="A282" i="20"/>
  <c r="A283" i="20"/>
  <c r="A284" i="20"/>
  <c r="A285" i="20"/>
  <c r="A286" i="20"/>
  <c r="A287" i="20"/>
  <c r="A288" i="20"/>
  <c r="A289" i="20"/>
  <c r="A290" i="20"/>
  <c r="A291" i="20"/>
  <c r="A292" i="20"/>
  <c r="A293" i="20"/>
  <c r="A294" i="20"/>
  <c r="A295" i="20"/>
  <c r="A296" i="20"/>
  <c r="A297" i="20"/>
  <c r="A298" i="20"/>
  <c r="A299" i="20"/>
  <c r="A300" i="20"/>
  <c r="A301" i="20"/>
  <c r="A302" i="20"/>
  <c r="A303" i="20"/>
  <c r="A304" i="20"/>
  <c r="A305" i="20"/>
  <c r="A306" i="20"/>
  <c r="A307" i="20"/>
  <c r="A308" i="20"/>
  <c r="A309" i="20"/>
  <c r="A310" i="20"/>
  <c r="A311" i="20"/>
  <c r="A312" i="20"/>
  <c r="A313" i="20"/>
  <c r="A314" i="20"/>
  <c r="A315" i="20"/>
  <c r="A316" i="20"/>
  <c r="A317" i="20"/>
  <c r="A318" i="20"/>
  <c r="A319" i="20"/>
  <c r="A320" i="20"/>
  <c r="A321" i="20"/>
  <c r="A322" i="20"/>
  <c r="A323" i="20"/>
  <c r="A324" i="20"/>
  <c r="A325" i="20"/>
  <c r="A326" i="20"/>
  <c r="A327" i="20"/>
  <c r="A328" i="20"/>
  <c r="A329" i="20"/>
  <c r="A330" i="20"/>
  <c r="A331" i="20"/>
  <c r="A332" i="20"/>
  <c r="A333" i="20"/>
  <c r="A334" i="20"/>
  <c r="A335" i="20"/>
  <c r="A336" i="20"/>
  <c r="A337" i="20"/>
  <c r="A338" i="20"/>
  <c r="A339" i="20"/>
  <c r="A340" i="20"/>
  <c r="A341" i="20"/>
  <c r="A342" i="20"/>
  <c r="A343" i="20"/>
  <c r="A344" i="20"/>
  <c r="A345" i="20"/>
  <c r="A346" i="20"/>
  <c r="A347" i="20"/>
  <c r="A348" i="20"/>
  <c r="A349" i="20"/>
  <c r="A350" i="20"/>
  <c r="A351" i="20"/>
  <c r="A352" i="20"/>
  <c r="A353" i="20"/>
  <c r="A354" i="20"/>
  <c r="A355" i="20"/>
  <c r="A356" i="20"/>
  <c r="A357" i="20"/>
  <c r="A358" i="20"/>
  <c r="A359" i="20"/>
  <c r="A360" i="20"/>
  <c r="A361" i="20"/>
  <c r="A362" i="20"/>
  <c r="A363" i="20"/>
  <c r="A364" i="20"/>
  <c r="A365" i="20"/>
  <c r="A366" i="20"/>
  <c r="A367" i="20"/>
  <c r="A368" i="20"/>
  <c r="A369" i="20"/>
  <c r="A370" i="20"/>
  <c r="A371" i="20"/>
  <c r="A372" i="20"/>
  <c r="A373" i="20"/>
  <c r="A374" i="20"/>
  <c r="A375" i="20"/>
  <c r="A376" i="20"/>
  <c r="A377" i="20"/>
  <c r="A378" i="20"/>
  <c r="A379" i="20"/>
  <c r="A380" i="20"/>
  <c r="A381" i="20"/>
  <c r="A382" i="20"/>
  <c r="A383" i="20"/>
  <c r="A384" i="20"/>
  <c r="A385" i="20"/>
  <c r="A386" i="20"/>
  <c r="A387" i="20"/>
  <c r="A388" i="20"/>
  <c r="A389" i="20"/>
  <c r="A390" i="20"/>
  <c r="A391" i="20"/>
  <c r="A392" i="20"/>
  <c r="A393" i="20"/>
  <c r="A394" i="20"/>
  <c r="A395" i="20"/>
  <c r="A396" i="20"/>
  <c r="A397" i="20"/>
  <c r="A398" i="20"/>
  <c r="A399" i="20"/>
  <c r="A400" i="20"/>
  <c r="A401" i="20"/>
  <c r="A402" i="20"/>
  <c r="A403" i="20"/>
  <c r="A404" i="20"/>
  <c r="A405" i="20"/>
  <c r="A406" i="20"/>
  <c r="A407" i="20"/>
  <c r="A408" i="20"/>
  <c r="A409" i="20"/>
  <c r="A410" i="20"/>
  <c r="A411" i="20"/>
  <c r="A412" i="20"/>
  <c r="A413" i="20"/>
  <c r="A414" i="20"/>
  <c r="A415" i="20"/>
  <c r="A416" i="20"/>
  <c r="A417" i="20"/>
  <c r="A418" i="20"/>
  <c r="A419" i="20"/>
  <c r="A420" i="20"/>
  <c r="A421" i="20"/>
  <c r="A422" i="20"/>
  <c r="A423" i="20"/>
  <c r="A424" i="20"/>
  <c r="A425" i="20"/>
  <c r="A426" i="20"/>
  <c r="A427" i="20"/>
  <c r="A428" i="20"/>
  <c r="A429" i="20"/>
  <c r="A430" i="20"/>
  <c r="A431" i="20"/>
  <c r="A432" i="20"/>
  <c r="A433" i="20"/>
  <c r="A434" i="20"/>
  <c r="A435" i="20"/>
  <c r="A436" i="20"/>
  <c r="A437" i="20"/>
  <c r="A438" i="20"/>
  <c r="A439" i="20"/>
  <c r="A440" i="20"/>
  <c r="A441" i="20"/>
  <c r="A442" i="20"/>
  <c r="A443" i="20"/>
  <c r="A444" i="20"/>
  <c r="A445" i="20"/>
  <c r="A446" i="20"/>
  <c r="A447" i="20"/>
  <c r="A448" i="20"/>
  <c r="A449" i="20"/>
  <c r="A450" i="20"/>
  <c r="A451" i="20"/>
  <c r="A452" i="20"/>
  <c r="A453" i="20"/>
  <c r="A454" i="20"/>
  <c r="A455" i="20"/>
  <c r="A456" i="20"/>
  <c r="A457" i="20"/>
  <c r="A458" i="20"/>
  <c r="A459" i="20"/>
  <c r="A460" i="20"/>
  <c r="A461" i="20"/>
  <c r="A462" i="20"/>
  <c r="A463" i="20"/>
  <c r="A464" i="20"/>
  <c r="A465" i="20"/>
  <c r="A466" i="20"/>
  <c r="A467" i="20"/>
  <c r="A468" i="20"/>
  <c r="A469" i="20"/>
  <c r="A470" i="20"/>
  <c r="A471" i="20"/>
  <c r="A472" i="20"/>
  <c r="A473" i="20"/>
  <c r="A474" i="20"/>
  <c r="A475" i="20"/>
  <c r="A476" i="20"/>
  <c r="A477" i="20"/>
  <c r="A478" i="20"/>
  <c r="A479" i="20"/>
  <c r="A480" i="20"/>
  <c r="A481" i="20"/>
  <c r="A482" i="20"/>
  <c r="A483" i="20"/>
  <c r="A484" i="20"/>
  <c r="A485" i="20"/>
  <c r="A486" i="20"/>
  <c r="A487" i="20"/>
  <c r="A488" i="20"/>
  <c r="A489" i="20"/>
  <c r="A490" i="20"/>
  <c r="A491" i="20"/>
  <c r="A492" i="20"/>
  <c r="A493" i="20"/>
  <c r="A494" i="20"/>
  <c r="A495" i="20"/>
  <c r="A496" i="20"/>
  <c r="A497" i="20"/>
  <c r="A498" i="20"/>
  <c r="A499" i="20"/>
  <c r="A500" i="20"/>
  <c r="A501" i="20"/>
  <c r="A502" i="20"/>
  <c r="A503" i="20"/>
  <c r="A504" i="20"/>
  <c r="A505" i="20"/>
  <c r="A506" i="20"/>
  <c r="A507" i="20"/>
  <c r="A508" i="20"/>
  <c r="A509" i="20"/>
  <c r="A510" i="20"/>
  <c r="A511" i="20"/>
  <c r="A512" i="20"/>
  <c r="A513" i="20"/>
  <c r="A514" i="20"/>
  <c r="A515" i="20"/>
  <c r="A516" i="20"/>
  <c r="A517" i="20"/>
  <c r="A518" i="20"/>
  <c r="A519" i="20"/>
  <c r="A520" i="20"/>
  <c r="A521" i="20"/>
  <c r="A522" i="20"/>
  <c r="A523" i="20"/>
  <c r="A524" i="20"/>
  <c r="A525" i="20"/>
  <c r="A526" i="20"/>
  <c r="A527" i="20"/>
  <c r="A528" i="20"/>
  <c r="A529" i="20"/>
  <c r="A530" i="20"/>
  <c r="A531" i="20"/>
  <c r="A532" i="20"/>
  <c r="A533" i="20"/>
  <c r="A534" i="20"/>
  <c r="A535" i="20"/>
  <c r="A536" i="20"/>
  <c r="A537" i="20"/>
  <c r="A538" i="20"/>
  <c r="A539" i="20"/>
  <c r="A540" i="20"/>
  <c r="A541" i="20"/>
  <c r="A542" i="20"/>
  <c r="A543" i="20"/>
  <c r="A544" i="20"/>
  <c r="A545" i="20"/>
  <c r="A546" i="20"/>
  <c r="A547" i="20"/>
  <c r="A548" i="20"/>
  <c r="A549" i="20"/>
  <c r="A550" i="20"/>
  <c r="A551" i="20"/>
  <c r="A552" i="20"/>
  <c r="A553" i="20"/>
  <c r="A554" i="20"/>
  <c r="A555" i="20"/>
  <c r="A556" i="20"/>
  <c r="A557" i="20"/>
  <c r="A558" i="20"/>
  <c r="A559" i="20"/>
  <c r="A560" i="20"/>
  <c r="A561" i="20"/>
  <c r="A562" i="20"/>
  <c r="A563" i="20"/>
  <c r="A564" i="20"/>
  <c r="A565" i="20"/>
  <c r="A566" i="20"/>
  <c r="A567" i="20"/>
  <c r="A568" i="20"/>
  <c r="A569" i="20"/>
  <c r="A570" i="20"/>
  <c r="A571" i="20"/>
  <c r="A572" i="20"/>
  <c r="A573" i="20"/>
  <c r="A574" i="20"/>
  <c r="A575" i="20"/>
  <c r="A576" i="20"/>
  <c r="A577" i="20"/>
  <c r="A578" i="20"/>
  <c r="A579" i="20"/>
  <c r="A580" i="20"/>
  <c r="A581" i="20"/>
  <c r="A582" i="20"/>
  <c r="A583" i="20"/>
  <c r="A584" i="20"/>
  <c r="A585" i="20"/>
  <c r="A586" i="20"/>
  <c r="A587" i="20"/>
  <c r="A588" i="20"/>
  <c r="A589" i="20"/>
  <c r="A590" i="20"/>
  <c r="A591" i="20"/>
  <c r="A592" i="20"/>
  <c r="A593" i="20"/>
  <c r="A594" i="20"/>
  <c r="A595" i="20"/>
  <c r="A596" i="20"/>
  <c r="A597" i="20"/>
  <c r="A598" i="20"/>
  <c r="A599" i="20"/>
  <c r="A600" i="20"/>
  <c r="A601" i="20"/>
  <c r="A602" i="20"/>
  <c r="A603" i="20"/>
  <c r="A604" i="20"/>
  <c r="A605" i="20"/>
  <c r="A606" i="20"/>
  <c r="A607" i="20"/>
  <c r="A608" i="20"/>
  <c r="A609" i="20"/>
  <c r="A610" i="20"/>
  <c r="A611" i="20"/>
  <c r="A612" i="20"/>
  <c r="A613" i="20"/>
  <c r="A614" i="20"/>
  <c r="A615" i="20"/>
  <c r="A616" i="20"/>
  <c r="A617" i="20"/>
  <c r="A618" i="20"/>
  <c r="A619" i="20"/>
  <c r="A620" i="20"/>
  <c r="A621" i="20"/>
  <c r="A622" i="20"/>
  <c r="A623" i="20"/>
  <c r="A624" i="20"/>
  <c r="A625" i="20"/>
  <c r="A626" i="20"/>
  <c r="A627" i="20"/>
  <c r="A628" i="20"/>
  <c r="A629" i="20"/>
  <c r="A630" i="20"/>
  <c r="A631" i="20"/>
  <c r="A632" i="20"/>
  <c r="A633" i="20"/>
  <c r="A634" i="20"/>
  <c r="A635" i="20"/>
  <c r="A636" i="20"/>
  <c r="A637" i="20"/>
  <c r="A638" i="20"/>
  <c r="A639" i="20"/>
  <c r="A640" i="20"/>
  <c r="A641" i="20"/>
  <c r="A642" i="20"/>
  <c r="A643" i="20"/>
  <c r="A644" i="20"/>
  <c r="A645" i="20"/>
  <c r="A646" i="20"/>
  <c r="A647" i="20"/>
  <c r="A648" i="20"/>
  <c r="A649" i="20"/>
  <c r="A650" i="20"/>
  <c r="A651" i="20"/>
  <c r="A652" i="20"/>
  <c r="A653" i="20"/>
  <c r="A654" i="20"/>
  <c r="A655" i="20"/>
  <c r="A656" i="20"/>
  <c r="A657" i="20"/>
  <c r="A658" i="20"/>
  <c r="A659" i="20"/>
  <c r="A660" i="20"/>
  <c r="A661" i="20"/>
  <c r="A662" i="20"/>
  <c r="A663" i="20"/>
  <c r="A664" i="20"/>
  <c r="A665" i="20"/>
  <c r="A666" i="20"/>
  <c r="A667" i="20"/>
  <c r="A668" i="20"/>
  <c r="A669" i="20"/>
  <c r="A670" i="20"/>
  <c r="A671" i="20"/>
  <c r="A672" i="20"/>
  <c r="A673" i="20"/>
  <c r="A674" i="20"/>
  <c r="A675" i="20"/>
  <c r="A676" i="20"/>
  <c r="A677" i="20"/>
  <c r="A678" i="20"/>
  <c r="A679" i="20"/>
  <c r="A680" i="20"/>
  <c r="A681" i="20"/>
  <c r="A682" i="20"/>
  <c r="A683" i="20"/>
  <c r="A684" i="20"/>
  <c r="A685" i="20"/>
  <c r="A686" i="20"/>
  <c r="A687" i="20"/>
  <c r="A688" i="20"/>
  <c r="A689" i="20"/>
  <c r="A690" i="20"/>
  <c r="A691" i="20"/>
  <c r="A692" i="20"/>
  <c r="A693" i="20"/>
  <c r="A694" i="20"/>
  <c r="A695" i="20"/>
  <c r="A696" i="20"/>
  <c r="A697" i="20"/>
  <c r="A698" i="20"/>
  <c r="A699" i="20"/>
  <c r="A700" i="20"/>
  <c r="A701" i="20"/>
  <c r="A702" i="20"/>
  <c r="A703" i="20"/>
  <c r="A704" i="20"/>
  <c r="A705" i="20"/>
  <c r="A706" i="20"/>
  <c r="A707" i="20"/>
  <c r="A708" i="20"/>
  <c r="A709" i="20"/>
  <c r="A710" i="20"/>
  <c r="A711" i="20"/>
  <c r="A712" i="20"/>
  <c r="A713" i="20"/>
  <c r="A714" i="20"/>
  <c r="A715" i="20"/>
  <c r="A716" i="20"/>
  <c r="A717" i="20"/>
  <c r="A718" i="20"/>
  <c r="A719" i="20"/>
  <c r="A720" i="20"/>
  <c r="A721" i="20"/>
  <c r="A722" i="20"/>
  <c r="A723" i="20"/>
  <c r="A724" i="20"/>
  <c r="A725" i="20"/>
  <c r="A726" i="20"/>
  <c r="A727" i="20"/>
  <c r="A728" i="20"/>
  <c r="A729" i="20"/>
  <c r="A730" i="20"/>
  <c r="A731" i="20"/>
  <c r="A732" i="20"/>
  <c r="A733" i="20"/>
  <c r="A734" i="20"/>
  <c r="A735" i="20"/>
  <c r="A736" i="20"/>
  <c r="A737" i="20"/>
  <c r="A738" i="20"/>
  <c r="A739" i="20"/>
  <c r="A740" i="20"/>
  <c r="A741" i="20"/>
  <c r="A742" i="20"/>
  <c r="A743" i="20"/>
  <c r="A744" i="20"/>
  <c r="A745" i="20"/>
  <c r="A746" i="20"/>
  <c r="A747" i="20"/>
  <c r="A748" i="20"/>
  <c r="A749" i="20"/>
  <c r="A750" i="20"/>
  <c r="A751" i="20"/>
  <c r="A752" i="20"/>
  <c r="A753" i="20"/>
  <c r="A754" i="20"/>
  <c r="A755" i="20"/>
  <c r="A756" i="20"/>
  <c r="A757" i="20"/>
  <c r="A758" i="20"/>
  <c r="A759" i="20"/>
  <c r="A760" i="20"/>
  <c r="A761" i="20"/>
  <c r="A762" i="20"/>
  <c r="A763" i="20"/>
  <c r="A764" i="20"/>
  <c r="A765" i="20"/>
  <c r="A766" i="20"/>
  <c r="A767" i="20"/>
  <c r="A768" i="20"/>
  <c r="A769" i="20"/>
  <c r="A770" i="20"/>
  <c r="A771" i="20"/>
  <c r="A772" i="20"/>
  <c r="A773" i="20"/>
  <c r="A774" i="20"/>
  <c r="A775" i="20"/>
  <c r="A776" i="20"/>
  <c r="A777" i="20"/>
  <c r="A778" i="20"/>
  <c r="A779" i="20"/>
  <c r="A780" i="20"/>
  <c r="A781" i="20"/>
  <c r="A782" i="20"/>
  <c r="A783" i="20"/>
  <c r="A784" i="20"/>
  <c r="A785" i="20"/>
  <c r="A786" i="20"/>
  <c r="A787" i="20"/>
  <c r="A788" i="20"/>
  <c r="A789" i="20"/>
  <c r="A790" i="20"/>
  <c r="A791" i="20"/>
  <c r="A792" i="20"/>
  <c r="A793" i="20"/>
  <c r="A794" i="20"/>
  <c r="A795" i="20"/>
  <c r="A796" i="20"/>
  <c r="A797" i="20"/>
  <c r="A798" i="20"/>
  <c r="A799" i="20"/>
  <c r="A800" i="20"/>
  <c r="A801" i="20"/>
  <c r="A802" i="20"/>
  <c r="A803" i="20"/>
  <c r="A804" i="20"/>
  <c r="A805" i="20"/>
  <c r="A806" i="20"/>
  <c r="A807" i="20"/>
  <c r="A808" i="20"/>
  <c r="A809" i="20"/>
  <c r="A810" i="20"/>
  <c r="A811" i="20"/>
  <c r="A812" i="20"/>
  <c r="A813" i="20"/>
  <c r="A814" i="20"/>
  <c r="A815" i="20"/>
  <c r="A816" i="20"/>
  <c r="A817" i="20"/>
  <c r="A818" i="20"/>
  <c r="A819" i="20"/>
  <c r="A820" i="20"/>
  <c r="A821" i="20"/>
  <c r="A822" i="20"/>
  <c r="A823" i="20"/>
  <c r="A824" i="20"/>
  <c r="A825" i="20"/>
  <c r="A826" i="20"/>
  <c r="A827" i="20"/>
  <c r="A828" i="20"/>
  <c r="A829" i="20"/>
  <c r="A830" i="20"/>
  <c r="A831" i="20"/>
  <c r="A832" i="20"/>
  <c r="A833" i="20"/>
  <c r="A834" i="20"/>
  <c r="A835" i="20"/>
  <c r="A836" i="20"/>
  <c r="A837" i="20"/>
  <c r="A838" i="20"/>
  <c r="A839" i="20"/>
  <c r="A840" i="20"/>
  <c r="A841" i="20"/>
  <c r="A842" i="20"/>
  <c r="A843" i="20"/>
  <c r="A844" i="20"/>
  <c r="A845" i="20"/>
  <c r="A846" i="20"/>
  <c r="A847" i="20"/>
  <c r="A848" i="20"/>
  <c r="A849" i="20"/>
  <c r="A850" i="20"/>
  <c r="A851" i="20"/>
  <c r="A852" i="20"/>
  <c r="A853" i="20"/>
  <c r="A854" i="20"/>
  <c r="A855" i="20"/>
  <c r="A856" i="20"/>
  <c r="A857" i="20"/>
  <c r="A858" i="20"/>
  <c r="A859" i="20"/>
  <c r="A860" i="20"/>
  <c r="A861" i="20"/>
  <c r="A862" i="20"/>
  <c r="A863" i="20"/>
  <c r="A864" i="20"/>
  <c r="A865" i="20"/>
  <c r="A866" i="20"/>
  <c r="A867" i="20"/>
  <c r="A868" i="20"/>
  <c r="A869" i="20"/>
  <c r="A870" i="20"/>
  <c r="A871" i="20"/>
  <c r="A872" i="20"/>
  <c r="A873" i="20"/>
  <c r="A874" i="20"/>
  <c r="A875" i="20"/>
  <c r="A876" i="20"/>
  <c r="A877" i="20"/>
  <c r="A878" i="20"/>
  <c r="A879" i="20"/>
  <c r="A880" i="20"/>
  <c r="A881" i="20"/>
  <c r="A882" i="20"/>
  <c r="A883" i="20"/>
  <c r="A884" i="20"/>
  <c r="A885" i="20"/>
  <c r="A886" i="20"/>
  <c r="A887" i="20"/>
  <c r="A888" i="20"/>
  <c r="A889" i="20"/>
  <c r="A890" i="20"/>
  <c r="A891" i="20"/>
  <c r="A892" i="20"/>
  <c r="A893" i="20"/>
  <c r="A894" i="20"/>
  <c r="A895" i="20"/>
  <c r="A896" i="20"/>
  <c r="A897" i="20"/>
  <c r="A898" i="20"/>
  <c r="A899" i="20"/>
  <c r="A900" i="20"/>
  <c r="A901" i="20"/>
  <c r="A902" i="20"/>
  <c r="A903" i="20"/>
  <c r="A904" i="20"/>
  <c r="A905" i="20"/>
  <c r="A906" i="20"/>
  <c r="A907" i="20"/>
  <c r="A908" i="20"/>
  <c r="A909" i="20"/>
  <c r="A910" i="20"/>
  <c r="A911" i="20"/>
  <c r="A912" i="20"/>
  <c r="A913" i="20"/>
  <c r="A914" i="20"/>
  <c r="A915" i="20"/>
  <c r="A916" i="20"/>
  <c r="A917" i="20"/>
  <c r="A918" i="20"/>
  <c r="A919" i="20"/>
  <c r="A920" i="20"/>
  <c r="A921" i="20"/>
  <c r="A922" i="20"/>
  <c r="A923" i="20"/>
  <c r="A924" i="20"/>
  <c r="A925" i="20"/>
  <c r="A926" i="20"/>
  <c r="A927" i="20"/>
  <c r="A928" i="20"/>
  <c r="A929" i="20"/>
  <c r="A930" i="20"/>
  <c r="A931" i="20"/>
  <c r="A932" i="20"/>
  <c r="A933" i="20"/>
  <c r="A934" i="20"/>
  <c r="A935" i="20"/>
  <c r="A936" i="20"/>
  <c r="A937" i="20"/>
  <c r="A938" i="20"/>
  <c r="A939" i="20"/>
  <c r="A940" i="20"/>
  <c r="A941" i="20"/>
  <c r="A942" i="20"/>
  <c r="A943" i="20"/>
  <c r="A944" i="20"/>
  <c r="A945" i="20"/>
  <c r="A946" i="20"/>
  <c r="A947" i="20"/>
  <c r="A948" i="20"/>
  <c r="A949" i="20"/>
  <c r="A950" i="20"/>
  <c r="A951" i="20"/>
  <c r="A952" i="20"/>
  <c r="A953" i="20"/>
  <c r="A954" i="20"/>
  <c r="A955" i="20"/>
  <c r="A956" i="20"/>
  <c r="A957" i="20"/>
  <c r="A958" i="20"/>
  <c r="A959" i="20"/>
  <c r="A960" i="20"/>
  <c r="A961" i="20"/>
  <c r="A962" i="20"/>
  <c r="A963" i="20"/>
  <c r="A964" i="20"/>
  <c r="A965" i="20"/>
  <c r="A966" i="20"/>
  <c r="A967" i="20"/>
  <c r="A968" i="20"/>
  <c r="A969" i="20"/>
  <c r="A970" i="20"/>
  <c r="A971" i="20"/>
  <c r="A972" i="20"/>
  <c r="A973" i="20"/>
  <c r="A974" i="20"/>
  <c r="A975" i="20"/>
  <c r="A976" i="20"/>
  <c r="A977" i="20"/>
  <c r="A978" i="20"/>
  <c r="A979" i="20"/>
  <c r="A980" i="20"/>
  <c r="A981" i="20"/>
  <c r="A982" i="20"/>
  <c r="A983" i="20"/>
  <c r="A984" i="20"/>
  <c r="A985" i="20"/>
  <c r="A986" i="20"/>
  <c r="A987" i="20"/>
  <c r="A988" i="20"/>
  <c r="A989" i="20"/>
  <c r="A990" i="20"/>
  <c r="A991" i="20"/>
  <c r="A992" i="20"/>
  <c r="A993" i="20"/>
  <c r="A994" i="20"/>
  <c r="A995" i="20"/>
  <c r="A996" i="20"/>
  <c r="A997" i="20"/>
  <c r="A998" i="20"/>
  <c r="A999" i="20"/>
  <c r="A1000" i="20"/>
  <c r="A1001" i="20"/>
  <c r="A1002" i="20"/>
  <c r="A1003" i="20"/>
  <c r="A1004" i="20"/>
  <c r="A1005" i="20"/>
  <c r="A1006" i="20"/>
  <c r="A1007" i="20"/>
  <c r="A1008" i="20"/>
  <c r="A1009" i="20"/>
  <c r="A1010" i="20"/>
  <c r="A1011" i="20"/>
  <c r="A1012" i="20"/>
  <c r="A1013" i="20"/>
  <c r="A1014" i="20"/>
  <c r="A1015" i="20"/>
  <c r="A1016" i="20"/>
  <c r="A1017" i="20"/>
  <c r="A1018" i="20"/>
  <c r="A1019" i="20"/>
  <c r="A1020" i="20"/>
  <c r="A1021" i="20"/>
  <c r="A1022" i="20"/>
  <c r="A1023" i="20"/>
  <c r="A1024" i="20"/>
  <c r="A1025" i="20"/>
  <c r="A1026" i="20"/>
  <c r="A1027" i="20"/>
  <c r="A1028" i="20"/>
  <c r="A1029" i="20"/>
  <c r="A1030" i="20"/>
  <c r="A1031" i="20"/>
  <c r="A1032" i="20"/>
  <c r="A1033" i="20"/>
  <c r="A1034" i="20"/>
  <c r="A1035" i="20"/>
  <c r="A1036" i="20"/>
  <c r="A1037" i="20"/>
  <c r="A1038" i="20"/>
  <c r="A1039" i="20"/>
  <c r="A1040" i="20"/>
  <c r="A1041" i="20"/>
  <c r="A1042" i="20"/>
  <c r="A1043" i="20"/>
  <c r="A1044" i="20"/>
  <c r="A1045" i="20"/>
  <c r="A1046" i="20"/>
  <c r="A1047" i="20"/>
  <c r="A1048" i="20"/>
  <c r="A1049" i="20"/>
  <c r="A1050" i="20"/>
  <c r="A1051" i="20"/>
  <c r="A1052" i="20"/>
  <c r="A1053" i="20"/>
  <c r="A1054" i="20"/>
  <c r="A1055" i="20"/>
  <c r="A1056" i="20"/>
  <c r="A1057" i="20"/>
  <c r="A1058" i="20"/>
  <c r="A1059" i="20"/>
  <c r="A1060" i="20"/>
  <c r="A1061" i="20"/>
  <c r="A1062" i="20"/>
  <c r="A1063" i="20"/>
  <c r="A1064" i="20"/>
  <c r="A1065" i="20"/>
  <c r="A1066" i="20"/>
  <c r="A1067" i="20"/>
  <c r="A1068" i="20"/>
  <c r="A1069" i="20"/>
  <c r="A1070" i="20"/>
  <c r="A1071" i="20"/>
  <c r="A1072" i="20"/>
  <c r="A1073" i="20"/>
  <c r="A1074" i="20"/>
  <c r="A1075" i="20"/>
  <c r="A1076" i="20"/>
  <c r="A1077" i="20"/>
  <c r="A1078" i="20"/>
  <c r="A1079" i="20"/>
  <c r="A1080" i="20"/>
  <c r="A1081" i="20"/>
  <c r="A1082" i="20"/>
  <c r="A1083" i="20"/>
  <c r="A1084" i="20"/>
  <c r="A1085" i="20"/>
  <c r="A1086" i="20"/>
  <c r="A1087" i="20"/>
  <c r="A1088" i="20"/>
  <c r="A1089" i="20"/>
  <c r="A1090" i="20"/>
  <c r="A1091" i="20"/>
  <c r="A1092" i="20"/>
  <c r="A1093" i="20"/>
  <c r="A1094" i="20"/>
  <c r="A1095" i="20"/>
  <c r="A1096" i="20"/>
  <c r="A1097" i="20"/>
  <c r="A1098" i="20"/>
  <c r="A1099" i="20"/>
  <c r="A1100" i="20"/>
  <c r="A1101" i="20"/>
  <c r="A1102" i="20"/>
  <c r="A1103" i="20"/>
  <c r="A1104" i="20"/>
  <c r="A1105" i="20"/>
  <c r="A1106" i="20"/>
  <c r="A1107" i="20"/>
  <c r="A1108" i="20"/>
  <c r="A1109" i="20"/>
  <c r="A1110" i="20"/>
  <c r="A1111" i="20"/>
  <c r="A1112" i="20"/>
  <c r="A1113" i="20"/>
  <c r="A1114" i="20"/>
  <c r="A1115" i="20"/>
  <c r="A1116" i="20"/>
  <c r="A1117" i="20"/>
  <c r="A1118" i="20"/>
  <c r="A1119" i="20"/>
  <c r="A1120" i="20"/>
  <c r="A1121" i="20"/>
  <c r="A1122" i="20"/>
  <c r="A1123" i="20"/>
  <c r="A1124" i="20"/>
  <c r="A1125" i="20"/>
  <c r="A1126" i="20"/>
  <c r="A1127" i="20"/>
  <c r="A1128" i="20"/>
  <c r="A1129" i="20"/>
  <c r="A1130" i="20"/>
  <c r="A1131" i="20"/>
  <c r="A1132" i="20"/>
  <c r="A1133" i="20"/>
  <c r="A1134" i="20"/>
  <c r="A1135" i="20"/>
  <c r="A1136" i="20"/>
  <c r="A1137" i="20"/>
  <c r="A1138" i="20"/>
  <c r="A1139" i="20"/>
  <c r="A1140" i="20"/>
  <c r="A1141" i="20"/>
  <c r="A1142" i="20"/>
  <c r="A1143" i="20"/>
  <c r="A1144" i="20"/>
  <c r="A1145" i="20"/>
  <c r="A1146" i="20"/>
  <c r="A1147" i="20"/>
  <c r="A1148" i="20"/>
  <c r="A1149" i="20"/>
  <c r="A1150" i="20"/>
  <c r="A1151" i="20"/>
  <c r="A1152" i="20"/>
  <c r="A1153" i="20"/>
  <c r="A1154" i="20"/>
  <c r="A1155" i="20"/>
  <c r="A1156" i="20"/>
  <c r="A1157" i="20"/>
  <c r="A1158" i="20"/>
  <c r="A1159" i="20"/>
  <c r="A1160" i="20"/>
  <c r="A1161" i="20"/>
  <c r="A1162" i="20"/>
  <c r="A1163" i="20"/>
  <c r="A1164" i="20"/>
  <c r="A1165" i="20"/>
  <c r="A1166" i="20"/>
  <c r="A1167" i="20"/>
  <c r="A1168" i="20"/>
  <c r="A1169" i="20"/>
  <c r="A1170" i="20"/>
  <c r="A1171" i="20"/>
  <c r="A1172" i="20"/>
  <c r="A1173" i="20"/>
  <c r="A1174" i="20"/>
  <c r="A1175" i="20"/>
  <c r="A1176" i="20"/>
  <c r="A1177" i="20"/>
  <c r="A1178" i="20"/>
  <c r="A1179" i="20"/>
  <c r="A1180" i="20"/>
  <c r="A1181" i="20"/>
  <c r="A1182" i="20"/>
  <c r="A1183" i="20"/>
  <c r="A1184" i="20"/>
  <c r="A1185" i="20"/>
  <c r="A1186" i="20"/>
  <c r="A1187" i="20"/>
  <c r="A1188" i="20"/>
  <c r="A1189" i="20"/>
  <c r="A1190" i="20"/>
  <c r="A1191" i="20"/>
  <c r="A1192" i="20"/>
  <c r="A1193" i="20"/>
  <c r="A1194" i="20"/>
  <c r="A1195" i="20"/>
  <c r="A1196" i="20"/>
  <c r="A1197" i="20"/>
  <c r="A1198" i="20"/>
  <c r="A1199" i="20"/>
  <c r="A1200" i="20"/>
  <c r="A1201" i="20"/>
  <c r="A1202" i="20"/>
  <c r="A1203" i="20"/>
  <c r="A1204" i="20"/>
  <c r="A1205" i="20"/>
  <c r="A1206" i="20"/>
  <c r="A1207" i="20"/>
  <c r="A1208" i="20"/>
  <c r="A1209" i="20"/>
  <c r="A1210" i="20"/>
  <c r="A1211" i="20"/>
  <c r="A1212" i="20"/>
  <c r="A1213" i="20"/>
  <c r="A1214" i="20"/>
  <c r="A1215" i="20"/>
  <c r="A1216" i="20"/>
  <c r="A1217" i="20"/>
  <c r="A1218" i="20"/>
  <c r="A1219" i="20"/>
  <c r="A1220" i="20"/>
  <c r="A1221" i="20"/>
  <c r="A1222" i="20"/>
  <c r="A1223" i="20"/>
  <c r="A1224" i="20"/>
  <c r="A1225" i="20"/>
  <c r="A1226" i="20"/>
  <c r="A1227" i="20"/>
  <c r="A1228" i="20"/>
  <c r="A1229" i="20"/>
  <c r="A1230" i="20"/>
  <c r="A1231" i="20"/>
  <c r="A1232" i="20"/>
  <c r="A1233" i="20"/>
  <c r="A1234" i="20"/>
  <c r="A1235" i="20"/>
  <c r="A1236" i="20"/>
  <c r="A1237" i="20"/>
  <c r="A1238" i="20"/>
  <c r="A1239" i="20"/>
  <c r="A1240" i="20"/>
  <c r="A1241" i="20"/>
  <c r="A1242" i="20"/>
  <c r="A1243" i="20"/>
  <c r="A1244" i="20"/>
  <c r="A1245" i="20"/>
  <c r="A1246" i="20"/>
  <c r="A1247" i="20"/>
  <c r="A1248" i="20"/>
  <c r="A1249" i="20"/>
  <c r="A1250" i="20"/>
  <c r="A1251" i="20"/>
  <c r="A1252" i="20"/>
  <c r="A1253" i="20"/>
  <c r="A1254" i="20"/>
  <c r="A1255" i="20"/>
  <c r="A1256" i="20"/>
  <c r="A1257" i="20"/>
  <c r="A1258" i="20"/>
  <c r="A1259" i="20"/>
  <c r="A1260" i="20"/>
  <c r="A1261" i="20"/>
  <c r="A1262" i="20"/>
  <c r="A1263" i="20"/>
  <c r="A1264" i="20"/>
  <c r="A1265" i="20"/>
  <c r="A1266" i="20"/>
  <c r="A1267" i="20"/>
  <c r="A1268" i="20"/>
  <c r="A1269" i="20"/>
  <c r="A1270" i="20"/>
  <c r="A1271" i="20"/>
  <c r="A1272" i="20"/>
  <c r="A1273" i="20"/>
  <c r="A1274" i="20"/>
  <c r="A1275" i="20"/>
  <c r="A1276" i="20"/>
  <c r="A1277" i="20"/>
  <c r="A1278" i="20"/>
  <c r="A1279" i="20"/>
  <c r="A1280" i="20"/>
  <c r="A1281" i="20"/>
  <c r="A1282" i="20"/>
  <c r="A1283" i="20"/>
  <c r="A1284" i="20"/>
  <c r="A1285" i="20"/>
  <c r="A1286" i="20"/>
  <c r="A1287" i="20"/>
  <c r="A1288" i="20"/>
  <c r="A1289" i="20"/>
  <c r="A1290" i="20"/>
  <c r="A1291" i="20"/>
  <c r="A1292" i="20"/>
  <c r="A1293" i="20"/>
  <c r="A1294" i="20"/>
  <c r="A1295" i="20"/>
  <c r="A1296" i="20"/>
  <c r="A1297" i="20"/>
  <c r="A1298" i="20"/>
  <c r="A1299" i="20"/>
  <c r="A1300" i="20"/>
  <c r="A1301" i="20"/>
  <c r="A1302" i="20"/>
  <c r="A1303" i="20"/>
  <c r="A1304" i="20"/>
  <c r="A1305" i="20"/>
  <c r="A1306" i="20"/>
  <c r="A1307" i="20"/>
  <c r="A1308" i="20"/>
  <c r="A1309" i="20"/>
  <c r="A1310" i="20"/>
  <c r="A1311" i="20"/>
  <c r="A1312" i="20"/>
  <c r="A1313" i="20"/>
  <c r="A1314" i="20"/>
  <c r="A1315" i="20"/>
  <c r="A1316" i="20"/>
  <c r="A1317" i="20"/>
  <c r="A1318" i="20"/>
  <c r="A1319" i="20"/>
  <c r="A1320" i="20"/>
  <c r="A1321" i="20"/>
  <c r="A1322" i="20"/>
  <c r="A1323" i="20"/>
  <c r="A1324" i="20"/>
  <c r="A1325" i="20"/>
  <c r="A1326" i="20"/>
  <c r="A1327" i="20"/>
  <c r="A1328" i="20"/>
  <c r="A1329" i="20"/>
  <c r="A1330" i="20"/>
  <c r="A1331" i="20"/>
  <c r="A1332" i="20"/>
  <c r="A1333" i="20"/>
  <c r="A1334" i="20"/>
  <c r="A1335" i="20"/>
  <c r="A1336" i="20"/>
  <c r="A1337" i="20"/>
  <c r="A1338" i="20"/>
  <c r="A1339" i="20"/>
  <c r="A1340" i="20"/>
  <c r="A1341" i="20"/>
  <c r="A1342" i="20"/>
  <c r="A1343" i="20"/>
  <c r="A1344" i="20"/>
  <c r="A1345" i="20"/>
  <c r="A1346" i="20"/>
  <c r="A1347" i="20"/>
  <c r="A1348" i="20"/>
  <c r="A1349" i="20"/>
  <c r="A1350" i="20"/>
  <c r="A1351" i="20"/>
  <c r="A1352" i="20"/>
  <c r="A1353" i="20"/>
  <c r="A1354" i="20"/>
  <c r="A1355" i="20"/>
  <c r="A1356" i="20"/>
  <c r="A1357" i="20"/>
  <c r="A1358" i="20"/>
  <c r="A1359" i="20"/>
  <c r="A1360" i="20"/>
  <c r="A1361" i="20"/>
  <c r="A1362" i="20"/>
  <c r="A1363" i="20"/>
  <c r="A1364" i="20"/>
  <c r="A1365" i="20"/>
  <c r="A1366" i="20"/>
  <c r="A1367" i="20"/>
  <c r="A1368" i="20"/>
  <c r="A1369" i="20"/>
  <c r="A1370" i="20"/>
  <c r="A1371" i="20"/>
  <c r="A1372" i="20"/>
  <c r="A1373" i="20"/>
  <c r="A1374" i="20"/>
  <c r="A1375" i="20"/>
  <c r="A1376" i="20"/>
  <c r="A1377" i="20"/>
  <c r="A1378" i="20"/>
  <c r="A1379" i="20"/>
  <c r="A1380" i="20"/>
  <c r="A1381" i="20"/>
  <c r="A1382" i="20"/>
  <c r="A1383" i="20"/>
  <c r="A1384" i="20"/>
  <c r="A1385" i="20"/>
  <c r="A1386" i="20"/>
  <c r="A1387" i="20"/>
  <c r="A1388" i="20"/>
  <c r="A1389" i="20"/>
  <c r="A1390" i="20"/>
  <c r="A1391" i="20"/>
  <c r="A1392" i="20"/>
  <c r="A1393" i="20"/>
  <c r="A1394" i="20"/>
  <c r="A1395" i="20"/>
  <c r="A1396" i="20"/>
  <c r="A1397" i="20"/>
  <c r="A1398" i="20"/>
  <c r="A1399" i="20"/>
  <c r="A1400" i="20"/>
  <c r="A1401" i="20"/>
  <c r="A1402" i="20"/>
  <c r="A1403" i="20"/>
  <c r="A1404" i="20"/>
  <c r="A1405" i="20"/>
  <c r="A1406" i="20"/>
  <c r="A1407" i="20"/>
  <c r="A1408" i="20"/>
  <c r="A1409" i="20"/>
  <c r="A1410" i="20"/>
  <c r="A1411" i="20"/>
  <c r="A1412" i="20"/>
  <c r="A1413" i="20"/>
  <c r="A1414" i="20"/>
  <c r="A1415" i="20"/>
  <c r="A1416" i="20"/>
  <c r="A1417" i="20"/>
  <c r="A1418" i="20"/>
  <c r="A1419" i="20"/>
  <c r="A1420" i="20"/>
  <c r="A1421" i="20"/>
  <c r="A1422" i="20"/>
  <c r="A1423" i="20"/>
  <c r="A1424" i="20"/>
  <c r="A1425" i="20"/>
  <c r="A1426" i="20"/>
  <c r="A1427" i="20"/>
  <c r="A1428" i="20"/>
  <c r="A1429" i="20"/>
  <c r="A1430" i="20"/>
  <c r="A1431" i="20"/>
  <c r="A1432" i="20"/>
  <c r="A1433" i="20"/>
  <c r="A1434" i="20"/>
  <c r="A1435" i="20"/>
  <c r="A1436" i="20"/>
  <c r="A1437" i="20"/>
  <c r="A1438" i="20"/>
  <c r="A1439" i="20"/>
  <c r="A1440" i="20"/>
  <c r="A1441" i="20"/>
  <c r="A1442" i="20"/>
  <c r="A1443" i="20"/>
  <c r="A1444" i="20"/>
  <c r="A1445" i="20"/>
  <c r="A1446" i="20"/>
  <c r="A1447" i="20"/>
  <c r="A1448" i="20"/>
  <c r="A1449" i="20"/>
  <c r="A1450" i="20"/>
  <c r="A1451" i="20"/>
  <c r="A1452" i="20"/>
  <c r="A1453" i="20"/>
  <c r="A1454" i="20"/>
  <c r="A1455" i="20"/>
  <c r="A1456" i="20"/>
  <c r="A1457" i="20"/>
  <c r="A1458" i="20"/>
  <c r="A1459" i="20"/>
  <c r="A1460" i="20"/>
  <c r="A1461" i="20"/>
  <c r="A1462" i="20"/>
  <c r="A1463" i="20"/>
  <c r="A1464" i="20"/>
  <c r="A1465" i="20"/>
  <c r="A1466" i="20"/>
  <c r="A1467" i="20"/>
  <c r="A1468" i="20"/>
  <c r="A1469" i="20"/>
  <c r="A1470" i="20"/>
  <c r="A1471" i="20"/>
  <c r="A1472" i="20"/>
  <c r="A1473" i="20"/>
  <c r="A1474" i="20"/>
  <c r="A1475" i="20"/>
  <c r="A1476" i="20"/>
  <c r="A1477" i="20"/>
  <c r="A1478" i="20"/>
  <c r="A1479" i="20"/>
  <c r="A1480" i="20"/>
  <c r="A1481" i="20"/>
  <c r="A1482" i="20"/>
  <c r="A1483" i="20"/>
  <c r="A1484" i="20"/>
  <c r="A1485" i="20"/>
  <c r="A1486" i="20"/>
  <c r="A1487" i="20"/>
  <c r="A1488" i="20"/>
  <c r="A1489" i="20"/>
  <c r="A1490" i="20"/>
  <c r="A1491" i="20"/>
  <c r="A1492" i="20"/>
  <c r="A1493" i="20"/>
  <c r="A1494" i="20"/>
  <c r="A1495" i="20"/>
  <c r="A1496" i="20"/>
  <c r="A1497" i="20"/>
  <c r="A1498" i="20"/>
  <c r="A1499" i="20"/>
  <c r="A1500" i="20"/>
  <c r="A1501" i="20"/>
  <c r="A1502" i="20"/>
  <c r="A1503" i="20"/>
  <c r="A1504" i="20"/>
  <c r="A1505" i="20"/>
  <c r="A1506" i="20"/>
  <c r="A1507" i="20"/>
  <c r="A1508" i="20"/>
  <c r="A1509" i="20"/>
  <c r="A1510" i="20"/>
  <c r="A1511" i="20"/>
  <c r="A1512" i="20"/>
  <c r="A1513" i="20"/>
  <c r="A1514" i="20"/>
  <c r="A1515" i="20"/>
  <c r="A1516" i="20"/>
  <c r="A1517" i="20"/>
  <c r="A1518" i="20"/>
  <c r="A1519" i="20"/>
  <c r="A1520" i="20"/>
  <c r="A1521" i="20"/>
  <c r="A1522" i="20"/>
  <c r="A1523" i="20"/>
  <c r="A1524" i="20"/>
  <c r="C8" i="28"/>
  <c r="C7" i="28"/>
  <c r="I24" i="28"/>
  <c r="D24" i="28"/>
  <c r="D21" i="28"/>
  <c r="D19" i="28"/>
  <c r="D18" i="28"/>
  <c r="E19" i="28" s="1"/>
  <c r="D17" i="28"/>
  <c r="D16" i="28"/>
  <c r="E17" i="28" s="1"/>
  <c r="D15" i="28"/>
  <c r="D14" i="28"/>
  <c r="E15" i="28" s="1"/>
  <c r="D12" i="28"/>
  <c r="E12" i="28" s="1"/>
  <c r="I8" i="28"/>
  <c r="D8" i="28"/>
  <c r="F8" i="28"/>
  <c r="K7" i="28" s="1"/>
  <c r="L7" i="28" s="1"/>
  <c r="D13" i="28"/>
  <c r="E13" i="28" s="1"/>
  <c r="D45" i="28"/>
  <c r="D43" i="28"/>
  <c r="D41" i="28"/>
  <c r="D39" i="28"/>
  <c r="D37" i="28"/>
  <c r="D35" i="28"/>
  <c r="D7" i="28"/>
  <c r="F7" i="28"/>
  <c r="K9" i="28"/>
  <c r="L9" i="28"/>
  <c r="J8" i="28"/>
  <c r="J9" i="28"/>
  <c r="G9" i="28"/>
  <c r="E16" i="28"/>
  <c r="J5" i="28"/>
  <c r="I5" i="28"/>
  <c r="I6" i="28"/>
  <c r="J11" i="28"/>
  <c r="J12" i="28"/>
  <c r="J13" i="28"/>
  <c r="J14" i="28"/>
  <c r="J15" i="28"/>
  <c r="J16" i="28"/>
  <c r="J17" i="28"/>
  <c r="J18" i="28"/>
  <c r="J19" i="28"/>
  <c r="J21" i="28"/>
  <c r="J24" i="28"/>
  <c r="I7" i="28"/>
  <c r="J7" i="28"/>
  <c r="J10" i="28"/>
  <c r="J6" i="28"/>
  <c r="G7" i="28"/>
  <c r="G10" i="28"/>
  <c r="E26" i="23"/>
  <c r="B6" i="23"/>
  <c r="B20" i="23" s="1"/>
  <c r="B22" i="23" s="1"/>
  <c r="D11" i="23"/>
  <c r="E11" i="23"/>
  <c r="E18" i="23" s="1"/>
  <c r="F11" i="23"/>
  <c r="G11" i="23"/>
  <c r="H11" i="23"/>
  <c r="I11" i="23"/>
  <c r="J11" i="23"/>
  <c r="K11" i="23"/>
  <c r="L11" i="23"/>
  <c r="M11" i="23"/>
  <c r="N11" i="23"/>
  <c r="O11" i="23"/>
  <c r="P11" i="23"/>
  <c r="Q11" i="23"/>
  <c r="R11" i="23"/>
  <c r="S11" i="23"/>
  <c r="T11" i="23"/>
  <c r="U11" i="23"/>
  <c r="V11" i="23"/>
  <c r="W11" i="23"/>
  <c r="X11" i="23"/>
  <c r="Y11" i="23"/>
  <c r="Z11" i="23"/>
  <c r="AA11" i="23"/>
  <c r="AB11" i="23"/>
  <c r="C11" i="23"/>
  <c r="C18" i="23" s="1"/>
  <c r="D14" i="23"/>
  <c r="E14" i="23"/>
  <c r="F14" i="23" s="1"/>
  <c r="F18" i="23" s="1"/>
  <c r="D18" i="23"/>
  <c r="B18" i="23"/>
  <c r="C17" i="23"/>
  <c r="D17" i="23"/>
  <c r="E17" i="23"/>
  <c r="B17" i="23"/>
  <c r="D14" i="26" l="1"/>
  <c r="E25" i="22"/>
  <c r="E30" i="22" s="1"/>
  <c r="C9" i="20"/>
  <c r="C10" i="20" s="1"/>
  <c r="D8" i="20"/>
  <c r="B21" i="23"/>
  <c r="B28" i="23"/>
  <c r="F17" i="23"/>
  <c r="G14" i="23"/>
  <c r="E18" i="28"/>
  <c r="E14" i="28"/>
  <c r="B18" i="22"/>
  <c r="B26" i="22"/>
  <c r="F15" i="30"/>
  <c r="G15" i="30"/>
  <c r="H15" i="30" s="1"/>
  <c r="F14" i="29"/>
  <c r="G14" i="29"/>
  <c r="H14" i="29" s="1"/>
  <c r="F9" i="33"/>
  <c r="F43" i="28"/>
  <c r="K8" i="28"/>
  <c r="L8" i="28" s="1"/>
  <c r="G18" i="22"/>
  <c r="E26" i="22"/>
  <c r="C18" i="22"/>
  <c r="C17" i="22"/>
  <c r="F12" i="30"/>
  <c r="G12" i="30"/>
  <c r="H12" i="30" s="1"/>
  <c r="I12" i="30" s="1"/>
  <c r="E11" i="29"/>
  <c r="B31" i="28"/>
  <c r="A31" i="28"/>
  <c r="E36" i="28"/>
  <c r="F37" i="28"/>
  <c r="G14" i="30"/>
  <c r="H14" i="30" s="1"/>
  <c r="F14" i="30"/>
  <c r="E13" i="29"/>
  <c r="C52" i="28"/>
  <c r="B48" i="28"/>
  <c r="G8" i="28"/>
  <c r="D26" i="22"/>
  <c r="D18" i="22"/>
  <c r="F11" i="30"/>
  <c r="G11" i="30"/>
  <c r="H11" i="30" s="1"/>
  <c r="I11" i="30" s="1"/>
  <c r="G13" i="30"/>
  <c r="H13" i="30" s="1"/>
  <c r="F13" i="30"/>
  <c r="E15" i="29"/>
  <c r="G12" i="29"/>
  <c r="H12" i="29" s="1"/>
  <c r="F12" i="29"/>
  <c r="C17" i="34"/>
  <c r="C19" i="34" s="1"/>
  <c r="E40" i="28"/>
  <c r="F41" i="28"/>
  <c r="F11" i="28"/>
  <c r="G16" i="22"/>
  <c r="G17" i="22" s="1"/>
  <c r="C23" i="28"/>
  <c r="B22" i="28"/>
  <c r="B20" i="28"/>
  <c r="C15" i="32"/>
  <c r="A55" i="20"/>
  <c r="A51" i="20"/>
  <c r="A47" i="20"/>
  <c r="A43" i="20"/>
  <c r="A39" i="20"/>
  <c r="A35" i="20"/>
  <c r="A31" i="20"/>
  <c r="A27" i="20"/>
  <c r="A23" i="20"/>
  <c r="A19" i="20"/>
  <c r="A15" i="20"/>
  <c r="A11" i="20"/>
  <c r="B27" i="22"/>
  <c r="C15" i="22"/>
  <c r="C26" i="22" s="1"/>
  <c r="D16" i="31"/>
  <c r="I12" i="29"/>
  <c r="D9" i="33"/>
  <c r="G9" i="33" s="1"/>
  <c r="E16" i="22"/>
  <c r="E17" i="22" s="1"/>
  <c r="E18" i="22" s="1"/>
  <c r="C9" i="33"/>
  <c r="A10" i="33"/>
  <c r="B23" i="28"/>
  <c r="A85" i="20"/>
  <c r="A81" i="20"/>
  <c r="A77" i="20"/>
  <c r="A73" i="20"/>
  <c r="A69" i="20"/>
  <c r="A65" i="20"/>
  <c r="A61" i="20"/>
  <c r="A57" i="20"/>
  <c r="A53" i="20"/>
  <c r="A49" i="20"/>
  <c r="A45" i="20"/>
  <c r="A41" i="20"/>
  <c r="A37" i="20"/>
  <c r="A33" i="20"/>
  <c r="A29" i="20"/>
  <c r="A25" i="20"/>
  <c r="A21" i="20"/>
  <c r="A17" i="20"/>
  <c r="A13" i="20"/>
  <c r="I14" i="29"/>
  <c r="I9" i="33"/>
  <c r="J9" i="33" s="1"/>
  <c r="M9" i="33"/>
  <c r="P9" i="33" s="1"/>
  <c r="C13" i="32"/>
  <c r="C16" i="32"/>
  <c r="N13" i="32"/>
  <c r="B23" i="24"/>
  <c r="C23" i="24" s="1"/>
  <c r="C24" i="24" s="1"/>
  <c r="B24" i="24"/>
  <c r="B15" i="32"/>
  <c r="P57" i="18"/>
  <c r="A17" i="32"/>
  <c r="B14" i="32"/>
  <c r="A17" i="27"/>
  <c r="B16" i="27"/>
  <c r="D15" i="27" s="1"/>
  <c r="F15" i="27" s="1"/>
  <c r="E8" i="24"/>
  <c r="N13" i="13"/>
  <c r="I26" i="18"/>
  <c r="N41" i="18"/>
  <c r="J41" i="18"/>
  <c r="K62" i="18"/>
  <c r="P62" i="18" s="1"/>
  <c r="K57" i="18"/>
  <c r="K55" i="18"/>
  <c r="J45" i="18"/>
  <c r="P45" i="18" s="1"/>
  <c r="J43" i="18"/>
  <c r="G17" i="17"/>
  <c r="G20" i="17" s="1"/>
  <c r="E8" i="17"/>
  <c r="B11" i="16"/>
  <c r="B12" i="16" s="1"/>
  <c r="J13" i="14"/>
  <c r="K13" i="14"/>
  <c r="P41" i="18"/>
  <c r="P71" i="18"/>
  <c r="P68" i="18"/>
  <c r="P59" i="18"/>
  <c r="J12" i="14"/>
  <c r="L12" i="14" s="1"/>
  <c r="K12" i="14"/>
  <c r="D28" i="12"/>
  <c r="F13" i="12"/>
  <c r="C41" i="18"/>
  <c r="C53" i="18"/>
  <c r="P64" i="18"/>
  <c r="P53" i="18"/>
  <c r="K52" i="18"/>
  <c r="K60" i="18"/>
  <c r="P60" i="18" s="1"/>
  <c r="K64" i="18"/>
  <c r="K51" i="18"/>
  <c r="P51" i="18" s="1"/>
  <c r="K59" i="18"/>
  <c r="K63" i="18"/>
  <c r="P63" i="18" s="1"/>
  <c r="J51" i="18"/>
  <c r="F12" i="18"/>
  <c r="D15" i="18"/>
  <c r="J47" i="18"/>
  <c r="P47" i="18" s="1"/>
  <c r="J48" i="18"/>
  <c r="P48" i="18" s="1"/>
  <c r="J49" i="18"/>
  <c r="P49" i="18" s="1"/>
  <c r="J50" i="18"/>
  <c r="J55" i="18"/>
  <c r="J56" i="18"/>
  <c r="P56" i="18" s="1"/>
  <c r="J11" i="14"/>
  <c r="L11" i="14" s="1"/>
  <c r="K11" i="14"/>
  <c r="A35" i="6"/>
  <c r="B34" i="6"/>
  <c r="D34" i="6" s="1"/>
  <c r="S8" i="21"/>
  <c r="T2" i="21"/>
  <c r="J9" i="18"/>
  <c r="C51" i="18" s="1"/>
  <c r="J27" i="18"/>
  <c r="C57" i="18" s="1"/>
  <c r="K17" i="18"/>
  <c r="I20" i="18" s="1"/>
  <c r="H15" i="18"/>
  <c r="P72" i="18"/>
  <c r="K65" i="18"/>
  <c r="P65" i="18" s="1"/>
  <c r="K69" i="18"/>
  <c r="P69" i="18" s="1"/>
  <c r="K70" i="18"/>
  <c r="P70" i="18" s="1"/>
  <c r="H21" i="18"/>
  <c r="K68" i="18"/>
  <c r="F18" i="18"/>
  <c r="K61" i="18"/>
  <c r="P61" i="18" s="1"/>
  <c r="J54" i="18"/>
  <c r="P54" i="18" s="1"/>
  <c r="J52" i="18"/>
  <c r="P52" i="18" s="1"/>
  <c r="K50" i="18"/>
  <c r="N51" i="18"/>
  <c r="N59" i="18"/>
  <c r="L9" i="18"/>
  <c r="C45" i="18"/>
  <c r="N50" i="18"/>
  <c r="N58" i="18"/>
  <c r="P58" i="18" s="1"/>
  <c r="M8" i="18"/>
  <c r="K5" i="18" s="1"/>
  <c r="L43" i="18"/>
  <c r="L44" i="18"/>
  <c r="P44" i="18" s="1"/>
  <c r="L41" i="18"/>
  <c r="H9" i="18"/>
  <c r="P42" i="18"/>
  <c r="E14" i="17"/>
  <c r="E17" i="17" s="1"/>
  <c r="G11" i="17"/>
  <c r="G14" i="17" s="1"/>
  <c r="H15" i="17"/>
  <c r="H16" i="17" s="1"/>
  <c r="J14" i="14"/>
  <c r="L14" i="14" s="1"/>
  <c r="K14" i="14"/>
  <c r="B11" i="15"/>
  <c r="M11" i="13"/>
  <c r="N11" i="13" s="1"/>
  <c r="M13" i="13"/>
  <c r="C33" i="6"/>
  <c r="C34" i="6" s="1"/>
  <c r="N9" i="1"/>
  <c r="S9" i="1" s="1"/>
  <c r="L72" i="18"/>
  <c r="D33" i="6"/>
  <c r="B12" i="1"/>
  <c r="Q12" i="1" s="1"/>
  <c r="A13" i="1"/>
  <c r="D34" i="52"/>
  <c r="N14" i="43"/>
  <c r="N12" i="43"/>
  <c r="J14" i="42"/>
  <c r="N14" i="42" s="1"/>
  <c r="K14" i="42"/>
  <c r="M14" i="42"/>
  <c r="M11" i="41"/>
  <c r="L11" i="41"/>
  <c r="N11" i="41" s="1"/>
  <c r="M13" i="41"/>
  <c r="L13" i="41"/>
  <c r="N13" i="41" s="1"/>
  <c r="E17" i="37"/>
  <c r="B9" i="36"/>
  <c r="B21" i="36" s="1"/>
  <c r="B23" i="36" s="1"/>
  <c r="C34" i="52"/>
  <c r="C10" i="1"/>
  <c r="E13" i="38"/>
  <c r="D13" i="38"/>
  <c r="C11" i="1"/>
  <c r="D8" i="44"/>
  <c r="D9" i="44" s="1"/>
  <c r="N13" i="43"/>
  <c r="B31" i="38"/>
  <c r="B33" i="38" s="1"/>
  <c r="B22" i="36"/>
  <c r="B33" i="52"/>
  <c r="D33" i="52" s="1"/>
  <c r="E26" i="52"/>
  <c r="E28" i="52" s="1"/>
  <c r="C33" i="52"/>
  <c r="N3" i="21"/>
  <c r="N8" i="21"/>
  <c r="N4" i="21"/>
  <c r="N5" i="21"/>
  <c r="N6" i="21" s="1"/>
  <c r="G10" i="1"/>
  <c r="G11" i="1"/>
  <c r="B11" i="1"/>
  <c r="Q11" i="1" s="1"/>
  <c r="E10" i="1"/>
  <c r="F10" i="1" s="1"/>
  <c r="H10" i="1" s="1"/>
  <c r="J12" i="42"/>
  <c r="K12" i="42"/>
  <c r="M12" i="42"/>
  <c r="E17" i="38"/>
  <c r="D17" i="38"/>
  <c r="A35" i="52"/>
  <c r="F8" i="49"/>
  <c r="L10" i="49"/>
  <c r="M10" i="49" s="1"/>
  <c r="C10" i="49"/>
  <c r="G10" i="49"/>
  <c r="I10" i="49" s="1"/>
  <c r="J10" i="49" s="1"/>
  <c r="E10" i="49"/>
  <c r="F10" i="49" s="1"/>
  <c r="A11" i="49"/>
  <c r="B23" i="47"/>
  <c r="B22" i="47"/>
  <c r="C22" i="47" s="1"/>
  <c r="C23" i="47" s="1"/>
  <c r="I8" i="49"/>
  <c r="J8" i="49" s="1"/>
  <c r="E27" i="22" l="1"/>
  <c r="D9" i="20"/>
  <c r="D10" i="20"/>
  <c r="C11" i="20"/>
  <c r="C12" i="20" s="1"/>
  <c r="C13" i="20" s="1"/>
  <c r="C14" i="20" s="1"/>
  <c r="P10" i="49"/>
  <c r="H15" i="27"/>
  <c r="G15" i="27"/>
  <c r="I15" i="27" s="1"/>
  <c r="E19" i="22"/>
  <c r="E24" i="22"/>
  <c r="E28" i="22"/>
  <c r="E22" i="22"/>
  <c r="E21" i="22"/>
  <c r="E23" i="22"/>
  <c r="B35" i="52"/>
  <c r="C35" i="52"/>
  <c r="D35" i="52" s="1"/>
  <c r="A36" i="52"/>
  <c r="H12" i="18"/>
  <c r="F15" i="18"/>
  <c r="C65" i="18"/>
  <c r="F28" i="12"/>
  <c r="E28" i="12"/>
  <c r="D23" i="28"/>
  <c r="J23" i="28"/>
  <c r="J22" i="28"/>
  <c r="D22" i="28"/>
  <c r="E22" i="28" s="1"/>
  <c r="B47" i="28"/>
  <c r="F47" i="28" s="1"/>
  <c r="A47" i="28"/>
  <c r="G23" i="22"/>
  <c r="G24" i="22"/>
  <c r="G21" i="22"/>
  <c r="G22" i="22"/>
  <c r="B23" i="23"/>
  <c r="B26" i="23" s="1"/>
  <c r="B29" i="23"/>
  <c r="B30" i="23" s="1"/>
  <c r="C11" i="49"/>
  <c r="D11" i="49"/>
  <c r="G11" i="49" s="1"/>
  <c r="H11" i="49" s="1"/>
  <c r="A12" i="49"/>
  <c r="E11" i="49"/>
  <c r="L11" i="49"/>
  <c r="M11" i="49"/>
  <c r="N12" i="42"/>
  <c r="L12" i="18"/>
  <c r="C43" i="18" s="1"/>
  <c r="H18" i="18"/>
  <c r="C61" i="18" s="1"/>
  <c r="T4" i="21"/>
  <c r="T8" i="21"/>
  <c r="U2" i="21"/>
  <c r="T3" i="21"/>
  <c r="T5" i="21"/>
  <c r="T6" i="21" s="1"/>
  <c r="L13" i="14"/>
  <c r="P43" i="18"/>
  <c r="N14" i="32"/>
  <c r="S14" i="32"/>
  <c r="C14" i="32"/>
  <c r="F14" i="32"/>
  <c r="N15" i="32"/>
  <c r="S15" i="32"/>
  <c r="D10" i="33"/>
  <c r="G10" i="33" s="1"/>
  <c r="H10" i="33" s="1"/>
  <c r="L10" i="33"/>
  <c r="M10" i="33" s="1"/>
  <c r="C10" i="33"/>
  <c r="E10" i="33"/>
  <c r="F10" i="33" s="1"/>
  <c r="A11" i="33"/>
  <c r="H9" i="33"/>
  <c r="F40" i="28"/>
  <c r="D15" i="32" s="1"/>
  <c r="F15" i="29"/>
  <c r="G15" i="29"/>
  <c r="H15" i="29" s="1"/>
  <c r="C56" i="28"/>
  <c r="B52" i="28"/>
  <c r="F13" i="29"/>
  <c r="G13" i="29"/>
  <c r="H13" i="29" s="1"/>
  <c r="F36" i="28"/>
  <c r="D14" i="32" s="1"/>
  <c r="F11" i="29"/>
  <c r="I11" i="29" s="1"/>
  <c r="G11" i="29"/>
  <c r="H11" i="29" s="1"/>
  <c r="C23" i="22"/>
  <c r="C21" i="22"/>
  <c r="C24" i="22"/>
  <c r="C19" i="22"/>
  <c r="C22" i="22"/>
  <c r="C28" i="22"/>
  <c r="H24" i="18"/>
  <c r="G23" i="18"/>
  <c r="C63" i="18"/>
  <c r="H10" i="49"/>
  <c r="F21" i="18"/>
  <c r="C35" i="6"/>
  <c r="D35" i="6"/>
  <c r="A36" i="6"/>
  <c r="B35" i="6"/>
  <c r="P55" i="18"/>
  <c r="E16" i="27"/>
  <c r="B17" i="32"/>
  <c r="A18" i="32"/>
  <c r="F17" i="32"/>
  <c r="O17" i="32" s="1"/>
  <c r="C17" i="32"/>
  <c r="T15" i="32"/>
  <c r="D28" i="22"/>
  <c r="D21" i="22"/>
  <c r="D22" i="22"/>
  <c r="D19" i="22"/>
  <c r="D23" i="22"/>
  <c r="D24" i="22"/>
  <c r="A33" i="28"/>
  <c r="D31" i="28"/>
  <c r="B21" i="22"/>
  <c r="B23" i="22"/>
  <c r="B24" i="22"/>
  <c r="B19" i="22"/>
  <c r="B28" i="22"/>
  <c r="B22" i="22"/>
  <c r="E11" i="1"/>
  <c r="L11" i="1"/>
  <c r="R11" i="1"/>
  <c r="M11" i="1"/>
  <c r="B17" i="27"/>
  <c r="A18" i="27"/>
  <c r="E17" i="27"/>
  <c r="T13" i="32"/>
  <c r="K13" i="32"/>
  <c r="B13" i="1"/>
  <c r="Q13" i="1" s="1"/>
  <c r="A14" i="1"/>
  <c r="G13" i="1"/>
  <c r="M10" i="1"/>
  <c r="R10" i="1" s="1"/>
  <c r="L10" i="1"/>
  <c r="I10" i="1"/>
  <c r="J10" i="1" s="1"/>
  <c r="B10" i="36"/>
  <c r="C12" i="1"/>
  <c r="F19" i="17"/>
  <c r="C59" i="18"/>
  <c r="P50" i="18"/>
  <c r="D18" i="18"/>
  <c r="C67" i="18"/>
  <c r="F13" i="17"/>
  <c r="G5" i="17"/>
  <c r="E11" i="17"/>
  <c r="J15" i="27"/>
  <c r="D16" i="27"/>
  <c r="F16" i="27" s="1"/>
  <c r="D20" i="28"/>
  <c r="J20" i="28"/>
  <c r="G11" i="28"/>
  <c r="K10" i="28"/>
  <c r="L10" i="28" s="1"/>
  <c r="I13" i="30"/>
  <c r="I14" i="30"/>
  <c r="I18" i="30" s="1"/>
  <c r="F31" i="28"/>
  <c r="I15" i="30"/>
  <c r="G17" i="23"/>
  <c r="H14" i="23"/>
  <c r="G18" i="23"/>
  <c r="F12" i="28"/>
  <c r="D11" i="20" l="1"/>
  <c r="D12" i="20"/>
  <c r="D13" i="20"/>
  <c r="H16" i="27"/>
  <c r="G16" i="27"/>
  <c r="I16" i="27" s="1"/>
  <c r="P10" i="33"/>
  <c r="I11" i="49"/>
  <c r="J11" i="49" s="1"/>
  <c r="G8" i="17"/>
  <c r="F7" i="17" s="1"/>
  <c r="D10" i="17" s="1"/>
  <c r="B13" i="17" s="1"/>
  <c r="I10" i="33"/>
  <c r="J10" i="33" s="1"/>
  <c r="U8" i="21"/>
  <c r="V2" i="21"/>
  <c r="U4" i="21"/>
  <c r="U3" i="21"/>
  <c r="U5" i="21"/>
  <c r="U6" i="21" s="1"/>
  <c r="F11" i="49"/>
  <c r="A49" i="28"/>
  <c r="D47" i="28"/>
  <c r="F13" i="28"/>
  <c r="E20" i="28"/>
  <c r="E21" i="28"/>
  <c r="D16" i="17"/>
  <c r="N10" i="1"/>
  <c r="G14" i="1"/>
  <c r="A15" i="1"/>
  <c r="B14" i="1"/>
  <c r="Q14" i="1" s="1"/>
  <c r="J16" i="27"/>
  <c r="A19" i="32"/>
  <c r="B18" i="32"/>
  <c r="C18" i="32" s="1"/>
  <c r="I13" i="29"/>
  <c r="I15" i="29"/>
  <c r="E23" i="28"/>
  <c r="E24" i="28"/>
  <c r="K11" i="28"/>
  <c r="L11" i="28" s="1"/>
  <c r="G12" i="28"/>
  <c r="F45" i="28"/>
  <c r="F44" i="28" s="1"/>
  <c r="D16" i="32" s="1"/>
  <c r="D33" i="32"/>
  <c r="M12" i="1"/>
  <c r="R12" i="1"/>
  <c r="N12" i="1"/>
  <c r="S12" i="1" s="1"/>
  <c r="L12" i="1"/>
  <c r="E12" i="1"/>
  <c r="F12" i="1"/>
  <c r="H12" i="1" s="1"/>
  <c r="I12" i="1" s="1"/>
  <c r="J12" i="1" s="1"/>
  <c r="F11" i="1"/>
  <c r="H11" i="1" s="1"/>
  <c r="I11" i="1" s="1"/>
  <c r="J11" i="1" s="1"/>
  <c r="I18" i="29"/>
  <c r="B51" i="28"/>
  <c r="F51" i="28" s="1"/>
  <c r="A51" i="28"/>
  <c r="P15" i="32"/>
  <c r="U15" i="32" s="1"/>
  <c r="G15" i="32"/>
  <c r="H15" i="32" s="1"/>
  <c r="E16" i="32"/>
  <c r="I16" i="32" s="1"/>
  <c r="J16" i="32" s="1"/>
  <c r="L11" i="33"/>
  <c r="M11" i="33"/>
  <c r="A12" i="33"/>
  <c r="E11" i="33"/>
  <c r="I11" i="33" s="1"/>
  <c r="J11" i="33" s="1"/>
  <c r="F11" i="33"/>
  <c r="C11" i="33"/>
  <c r="D11" i="33"/>
  <c r="G11" i="33" s="1"/>
  <c r="H11" i="33" s="1"/>
  <c r="P11" i="49"/>
  <c r="F16" i="32"/>
  <c r="B18" i="27"/>
  <c r="A19" i="27" s="1"/>
  <c r="I14" i="23"/>
  <c r="H18" i="23"/>
  <c r="H17" i="23"/>
  <c r="C13" i="1"/>
  <c r="D14" i="20"/>
  <c r="C15" i="20"/>
  <c r="N11" i="1"/>
  <c r="S11" i="1" s="1"/>
  <c r="B33" i="28"/>
  <c r="D33" i="28"/>
  <c r="T17" i="32"/>
  <c r="N17" i="32"/>
  <c r="S17" i="32"/>
  <c r="C36" i="6"/>
  <c r="B36" i="6"/>
  <c r="D36" i="6" s="1"/>
  <c r="A37" i="6"/>
  <c r="E15" i="32"/>
  <c r="I15" i="32" s="1"/>
  <c r="B56" i="28"/>
  <c r="C60" i="28"/>
  <c r="O14" i="32"/>
  <c r="P14" i="32" s="1"/>
  <c r="U14" i="32" s="1"/>
  <c r="G14" i="32"/>
  <c r="H14" i="32" s="1"/>
  <c r="K11" i="18"/>
  <c r="L12" i="49"/>
  <c r="M12" i="49"/>
  <c r="A13" i="49"/>
  <c r="C12" i="49"/>
  <c r="D12" i="49"/>
  <c r="G12" i="49" s="1"/>
  <c r="E12" i="49"/>
  <c r="F12" i="49" s="1"/>
  <c r="A37" i="52"/>
  <c r="B36" i="52"/>
  <c r="D36" i="52" s="1"/>
  <c r="C36" i="52"/>
  <c r="I12" i="49" l="1"/>
  <c r="J12" i="49" s="1"/>
  <c r="H12" i="49"/>
  <c r="B19" i="27"/>
  <c r="A20" i="27" s="1"/>
  <c r="E18" i="27"/>
  <c r="F18" i="32"/>
  <c r="C37" i="6"/>
  <c r="A38" i="6"/>
  <c r="B37" i="6"/>
  <c r="D37" i="6" s="1"/>
  <c r="E32" i="28"/>
  <c r="F33" i="28"/>
  <c r="K32" i="28" s="1"/>
  <c r="C16" i="20"/>
  <c r="D15" i="20"/>
  <c r="B15" i="1"/>
  <c r="Q15" i="1" s="1"/>
  <c r="A16" i="1"/>
  <c r="G15" i="1"/>
  <c r="B49" i="28"/>
  <c r="D49" i="28"/>
  <c r="T14" i="32"/>
  <c r="D17" i="27"/>
  <c r="P12" i="49"/>
  <c r="B37" i="52"/>
  <c r="A38" i="52"/>
  <c r="C37" i="52"/>
  <c r="D37" i="52"/>
  <c r="B60" i="28"/>
  <c r="C64" i="28"/>
  <c r="J14" i="23"/>
  <c r="I17" i="23"/>
  <c r="I18" i="23"/>
  <c r="S10" i="1"/>
  <c r="D13" i="49"/>
  <c r="E13" i="49"/>
  <c r="I13" i="49"/>
  <c r="F13" i="49"/>
  <c r="L13" i="49"/>
  <c r="M13" i="49"/>
  <c r="J13" i="49"/>
  <c r="H13" i="49"/>
  <c r="A14" i="49"/>
  <c r="C13" i="49"/>
  <c r="P13" i="49"/>
  <c r="G13" i="49"/>
  <c r="I14" i="18"/>
  <c r="G17" i="18" s="1"/>
  <c r="E20" i="18" s="1"/>
  <c r="I8" i="18"/>
  <c r="G11" i="18" s="1"/>
  <c r="E14" i="18" s="1"/>
  <c r="C17" i="18" s="1"/>
  <c r="B55" i="28"/>
  <c r="F55" i="28" s="1"/>
  <c r="A55" i="28"/>
  <c r="R13" i="1"/>
  <c r="L13" i="1"/>
  <c r="M13" i="1"/>
  <c r="N13" i="1" s="1"/>
  <c r="E13" i="1"/>
  <c r="P11" i="33"/>
  <c r="F13" i="1"/>
  <c r="H13" i="1" s="1"/>
  <c r="I13" i="1" s="1"/>
  <c r="J13" i="1" s="1"/>
  <c r="C14" i="1"/>
  <c r="G13" i="28"/>
  <c r="K12" i="28"/>
  <c r="L12" i="28" s="1"/>
  <c r="V3" i="21"/>
  <c r="V4" i="21"/>
  <c r="V5" i="21"/>
  <c r="V6" i="21" s="1"/>
  <c r="W2" i="21"/>
  <c r="V8" i="21"/>
  <c r="K15" i="32"/>
  <c r="L15" i="32" s="1"/>
  <c r="J15" i="32"/>
  <c r="O16" i="32"/>
  <c r="G16" i="32"/>
  <c r="H16" i="32" s="1"/>
  <c r="K16" i="32"/>
  <c r="L16" i="32" s="1"/>
  <c r="C12" i="33"/>
  <c r="F12" i="33" s="1"/>
  <c r="E12" i="33"/>
  <c r="D12" i="33"/>
  <c r="G12" i="33" s="1"/>
  <c r="L12" i="33"/>
  <c r="M12" i="33"/>
  <c r="A13" i="33"/>
  <c r="P12" i="33"/>
  <c r="A53" i="28"/>
  <c r="D51" i="28"/>
  <c r="N18" i="32"/>
  <c r="S18" i="32"/>
  <c r="A20" i="32"/>
  <c r="F19" i="32"/>
  <c r="O19" i="32" s="1"/>
  <c r="B19" i="32"/>
  <c r="C19" i="32" s="1"/>
  <c r="F14" i="28"/>
  <c r="H12" i="33" l="1"/>
  <c r="I12" i="33"/>
  <c r="J12" i="33" s="1"/>
  <c r="B20" i="27"/>
  <c r="D19" i="27" s="1"/>
  <c r="E19" i="27"/>
  <c r="T19" i="32"/>
  <c r="S13" i="1"/>
  <c r="G14" i="28"/>
  <c r="K13" i="28"/>
  <c r="L13" i="28" s="1"/>
  <c r="F15" i="28"/>
  <c r="L13" i="33"/>
  <c r="M13" i="33" s="1"/>
  <c r="P13" i="33" s="1"/>
  <c r="C13" i="33"/>
  <c r="F13" i="33"/>
  <c r="A14" i="33"/>
  <c r="D13" i="33"/>
  <c r="G13" i="33" s="1"/>
  <c r="H13" i="33" s="1"/>
  <c r="E13" i="33"/>
  <c r="I13" i="33" s="1"/>
  <c r="J13" i="33" s="1"/>
  <c r="P16" i="32"/>
  <c r="T16" i="32"/>
  <c r="M14" i="1"/>
  <c r="L14" i="1"/>
  <c r="R14" i="1"/>
  <c r="E14" i="1"/>
  <c r="F14" i="1" s="1"/>
  <c r="H14" i="1" s="1"/>
  <c r="I14" i="1" s="1"/>
  <c r="J14" i="1" s="1"/>
  <c r="L14" i="49"/>
  <c r="M14" i="49"/>
  <c r="G14" i="49"/>
  <c r="E14" i="49"/>
  <c r="H14" i="49"/>
  <c r="A15" i="49"/>
  <c r="P14" i="49"/>
  <c r="I14" i="49"/>
  <c r="F14" i="49"/>
  <c r="J14" i="49"/>
  <c r="C14" i="49"/>
  <c r="D14" i="49"/>
  <c r="C68" i="28"/>
  <c r="B64" i="28"/>
  <c r="A39" i="52"/>
  <c r="C38" i="52"/>
  <c r="B38" i="52"/>
  <c r="D38" i="52" s="1"/>
  <c r="C15" i="1"/>
  <c r="N19" i="32"/>
  <c r="S19" i="32"/>
  <c r="B53" i="28"/>
  <c r="D53" i="28"/>
  <c r="W8" i="21"/>
  <c r="X2" i="21"/>
  <c r="W3" i="21"/>
  <c r="W5" i="21"/>
  <c r="W6" i="21" s="1"/>
  <c r="W4" i="21"/>
  <c r="A57" i="28"/>
  <c r="D55" i="28"/>
  <c r="B59" i="28"/>
  <c r="F59" i="28" s="1"/>
  <c r="A59" i="28"/>
  <c r="C17" i="20"/>
  <c r="D16" i="20"/>
  <c r="O18" i="32"/>
  <c r="D18" i="27"/>
  <c r="B16" i="1"/>
  <c r="Q16" i="1" s="1"/>
  <c r="A17" i="1"/>
  <c r="G16" i="1"/>
  <c r="C38" i="6"/>
  <c r="B38" i="6"/>
  <c r="D38" i="6" s="1"/>
  <c r="A39" i="6"/>
  <c r="B20" i="32"/>
  <c r="C20" i="32"/>
  <c r="A21" i="32"/>
  <c r="K14" i="23"/>
  <c r="J18" i="23"/>
  <c r="J17" i="23"/>
  <c r="F17" i="27"/>
  <c r="E48" i="28"/>
  <c r="F48" i="28" s="1"/>
  <c r="D17" i="32" s="1"/>
  <c r="F49" i="28"/>
  <c r="F32" i="28"/>
  <c r="D13" i="32" s="1"/>
  <c r="F19" i="27" l="1"/>
  <c r="P17" i="32"/>
  <c r="U17" i="32" s="1"/>
  <c r="G17" i="32"/>
  <c r="H17" i="32" s="1"/>
  <c r="E17" i="32"/>
  <c r="I17" i="32" s="1"/>
  <c r="C39" i="6"/>
  <c r="A40" i="6"/>
  <c r="B39" i="6"/>
  <c r="D39" i="6" s="1"/>
  <c r="C16" i="1"/>
  <c r="B17" i="1"/>
  <c r="Q17" i="1" s="1"/>
  <c r="A18" i="1"/>
  <c r="G17" i="1"/>
  <c r="T18" i="32"/>
  <c r="B57" i="28"/>
  <c r="D57" i="28"/>
  <c r="E52" i="28"/>
  <c r="F52" i="28" s="1"/>
  <c r="D18" i="32" s="1"/>
  <c r="E18" i="32" s="1"/>
  <c r="I18" i="32" s="1"/>
  <c r="F53" i="28"/>
  <c r="B39" i="52"/>
  <c r="D39" i="52" s="1"/>
  <c r="A40" i="52"/>
  <c r="C39" i="52"/>
  <c r="C14" i="33"/>
  <c r="D14" i="33"/>
  <c r="L14" i="33"/>
  <c r="M14" i="33" s="1"/>
  <c r="P14" i="33" s="1"/>
  <c r="G14" i="33"/>
  <c r="I14" i="33" s="1"/>
  <c r="J14" i="33" s="1"/>
  <c r="E14" i="33"/>
  <c r="F14" i="33" s="1"/>
  <c r="H14" i="33"/>
  <c r="A15" i="33"/>
  <c r="A21" i="27"/>
  <c r="A61" i="28"/>
  <c r="D59" i="28"/>
  <c r="X8" i="21"/>
  <c r="X3" i="21"/>
  <c r="X5" i="21"/>
  <c r="X6" i="21" s="1"/>
  <c r="Y2" i="21"/>
  <c r="X4" i="21"/>
  <c r="B63" i="28"/>
  <c r="F63" i="28" s="1"/>
  <c r="A63" i="28"/>
  <c r="N14" i="1"/>
  <c r="E14" i="32"/>
  <c r="I14" i="32" s="1"/>
  <c r="G13" i="32"/>
  <c r="R13" i="32"/>
  <c r="P13" i="32"/>
  <c r="J13" i="32"/>
  <c r="L13" i="32"/>
  <c r="N20" i="32"/>
  <c r="S20" i="32"/>
  <c r="F18" i="27"/>
  <c r="C72" i="28"/>
  <c r="B68" i="28"/>
  <c r="C15" i="49"/>
  <c r="I15" i="49"/>
  <c r="F15" i="49"/>
  <c r="D15" i="49"/>
  <c r="J15" i="49"/>
  <c r="H15" i="49"/>
  <c r="A16" i="49"/>
  <c r="P15" i="49"/>
  <c r="G15" i="49"/>
  <c r="L15" i="49"/>
  <c r="M15" i="49"/>
  <c r="E15" i="49"/>
  <c r="U16" i="32"/>
  <c r="K14" i="28"/>
  <c r="L14" i="28" s="1"/>
  <c r="G15" i="28"/>
  <c r="L14" i="23"/>
  <c r="K18" i="23"/>
  <c r="K17" i="23"/>
  <c r="G17" i="27"/>
  <c r="I17" i="27" s="1"/>
  <c r="H17" i="27"/>
  <c r="B21" i="32"/>
  <c r="C21" i="32" s="1"/>
  <c r="A22" i="32"/>
  <c r="F21" i="32"/>
  <c r="F20" i="32"/>
  <c r="C18" i="20"/>
  <c r="D17" i="20"/>
  <c r="L15" i="1"/>
  <c r="M15" i="1"/>
  <c r="N15" i="1" s="1"/>
  <c r="S15" i="1" s="1"/>
  <c r="E15" i="1"/>
  <c r="F16" i="28"/>
  <c r="J18" i="32" l="1"/>
  <c r="K18" i="32"/>
  <c r="L18" i="32" s="1"/>
  <c r="G16" i="28"/>
  <c r="K15" i="28"/>
  <c r="L15" i="28" s="1"/>
  <c r="F17" i="28"/>
  <c r="R15" i="1"/>
  <c r="O21" i="32"/>
  <c r="J17" i="27"/>
  <c r="M14" i="23"/>
  <c r="L18" i="23"/>
  <c r="L17" i="23"/>
  <c r="H13" i="32"/>
  <c r="F15" i="1"/>
  <c r="H15" i="1" s="1"/>
  <c r="I15" i="1" s="1"/>
  <c r="J15" i="1" s="1"/>
  <c r="B18" i="1"/>
  <c r="Q18" i="1" s="1"/>
  <c r="A19" i="1"/>
  <c r="G18" i="1"/>
  <c r="C18" i="1"/>
  <c r="E18" i="1" s="1"/>
  <c r="C17" i="1"/>
  <c r="D18" i="20"/>
  <c r="C19" i="20"/>
  <c r="B67" i="28"/>
  <c r="F67" i="28" s="1"/>
  <c r="A67" i="28"/>
  <c r="K14" i="32"/>
  <c r="L14" i="32" s="1"/>
  <c r="J14" i="32"/>
  <c r="Y8" i="21"/>
  <c r="Z2" i="21"/>
  <c r="Y4" i="21"/>
  <c r="Y3" i="21"/>
  <c r="Y5" i="21"/>
  <c r="Y6" i="21" s="1"/>
  <c r="G18" i="32"/>
  <c r="H18" i="32" s="1"/>
  <c r="P18" i="32"/>
  <c r="M16" i="1"/>
  <c r="R16" i="1"/>
  <c r="L16" i="1"/>
  <c r="E16" i="1"/>
  <c r="O20" i="32"/>
  <c r="A23" i="32"/>
  <c r="B22" i="32"/>
  <c r="L16" i="49"/>
  <c r="M16" i="49"/>
  <c r="G16" i="49"/>
  <c r="J16" i="49"/>
  <c r="A17" i="49"/>
  <c r="C16" i="49"/>
  <c r="P16" i="49"/>
  <c r="F16" i="49"/>
  <c r="E16" i="49"/>
  <c r="D16" i="49"/>
  <c r="I16" i="49"/>
  <c r="H16" i="49"/>
  <c r="C76" i="28"/>
  <c r="B72" i="28"/>
  <c r="A65" i="28"/>
  <c r="D63" i="28"/>
  <c r="B61" i="28"/>
  <c r="D61" i="28"/>
  <c r="L15" i="33"/>
  <c r="M15" i="33"/>
  <c r="P15" i="33" s="1"/>
  <c r="A16" i="33"/>
  <c r="E15" i="33"/>
  <c r="C15" i="33"/>
  <c r="D15" i="33"/>
  <c r="G15" i="33" s="1"/>
  <c r="H15" i="33" s="1"/>
  <c r="A41" i="52"/>
  <c r="C40" i="52"/>
  <c r="D40" i="52"/>
  <c r="B40" i="52"/>
  <c r="J17" i="32"/>
  <c r="K17" i="32"/>
  <c r="L17" i="32" s="1"/>
  <c r="N21" i="32"/>
  <c r="S21" i="32"/>
  <c r="H18" i="27"/>
  <c r="J18" i="27" s="1"/>
  <c r="G18" i="27"/>
  <c r="I18" i="27" s="1"/>
  <c r="R42" i="32"/>
  <c r="U13" i="32"/>
  <c r="S14" i="1"/>
  <c r="B21" i="27"/>
  <c r="A22" i="27" s="1"/>
  <c r="E20" i="27"/>
  <c r="E56" i="28"/>
  <c r="F57" i="28"/>
  <c r="C40" i="6"/>
  <c r="D40" i="6"/>
  <c r="B40" i="6"/>
  <c r="A41" i="6"/>
  <c r="G19" i="27"/>
  <c r="I19" i="27" s="1"/>
  <c r="H19" i="27"/>
  <c r="J19" i="27" s="1"/>
  <c r="B22" i="27" l="1"/>
  <c r="A23" i="27" s="1"/>
  <c r="E21" i="27"/>
  <c r="I15" i="33"/>
  <c r="J15" i="33" s="1"/>
  <c r="E60" i="28"/>
  <c r="F60" i="28" s="1"/>
  <c r="D20" i="32" s="1"/>
  <c r="F61" i="28"/>
  <c r="C80" i="28"/>
  <c r="B76" i="28"/>
  <c r="D17" i="49"/>
  <c r="E17" i="49"/>
  <c r="C17" i="49"/>
  <c r="L17" i="49"/>
  <c r="M17" i="49"/>
  <c r="A18" i="49"/>
  <c r="P17" i="49"/>
  <c r="G17" i="49"/>
  <c r="I17" i="49"/>
  <c r="F17" i="49"/>
  <c r="J17" i="49"/>
  <c r="H17" i="49"/>
  <c r="N22" i="32"/>
  <c r="S22" i="32"/>
  <c r="U18" i="32"/>
  <c r="F16" i="1"/>
  <c r="H16" i="1" s="1"/>
  <c r="I16" i="1" s="1"/>
  <c r="J16" i="1" s="1"/>
  <c r="G17" i="28"/>
  <c r="K16" i="28"/>
  <c r="L16" i="28" s="1"/>
  <c r="F18" i="28"/>
  <c r="C23" i="32"/>
  <c r="A24" i="32"/>
  <c r="G23" i="32"/>
  <c r="H23" i="32" s="1"/>
  <c r="P23" i="32"/>
  <c r="B23" i="32"/>
  <c r="E23" i="32"/>
  <c r="F23" i="32"/>
  <c r="O23" i="32"/>
  <c r="I23" i="32"/>
  <c r="C20" i="20"/>
  <c r="D19" i="20"/>
  <c r="G19" i="1"/>
  <c r="B19" i="1"/>
  <c r="Q19" i="1" s="1"/>
  <c r="E19" i="1"/>
  <c r="F19" i="1"/>
  <c r="H19" i="1"/>
  <c r="C19" i="1"/>
  <c r="A20" i="1"/>
  <c r="N14" i="23"/>
  <c r="M17" i="23"/>
  <c r="M18" i="23"/>
  <c r="D20" i="27"/>
  <c r="B41" i="52"/>
  <c r="D41" i="52" s="1"/>
  <c r="C41" i="52"/>
  <c r="A42" i="52"/>
  <c r="C32" i="52"/>
  <c r="F15" i="33"/>
  <c r="B65" i="28"/>
  <c r="D65" i="28"/>
  <c r="P20" i="32"/>
  <c r="U20" i="32" s="1"/>
  <c r="T20" i="32"/>
  <c r="Z3" i="21"/>
  <c r="Z4" i="21"/>
  <c r="Z5" i="21"/>
  <c r="Z6" i="21" s="1"/>
  <c r="AA2" i="21"/>
  <c r="Z8" i="21"/>
  <c r="N18" i="1"/>
  <c r="S18" i="1" s="1"/>
  <c r="L18" i="1"/>
  <c r="M18" i="1"/>
  <c r="R18" i="1"/>
  <c r="C41" i="6"/>
  <c r="A42" i="6"/>
  <c r="B41" i="6"/>
  <c r="D41" i="6" s="1"/>
  <c r="C32" i="6"/>
  <c r="F56" i="28"/>
  <c r="D19" i="32" s="1"/>
  <c r="E16" i="33"/>
  <c r="I16" i="33" s="1"/>
  <c r="J16" i="33" s="1"/>
  <c r="D16" i="33"/>
  <c r="L16" i="33"/>
  <c r="M16" i="33" s="1"/>
  <c r="P16" i="33" s="1"/>
  <c r="G16" i="33"/>
  <c r="A17" i="33"/>
  <c r="C16" i="33"/>
  <c r="H16" i="33" s="1"/>
  <c r="B71" i="28"/>
  <c r="F71" i="28" s="1"/>
  <c r="A71" i="28"/>
  <c r="C22" i="32"/>
  <c r="N16" i="1"/>
  <c r="S16" i="1" s="1"/>
  <c r="A69" i="28"/>
  <c r="D67" i="28"/>
  <c r="M17" i="1"/>
  <c r="R17" i="1" s="1"/>
  <c r="L17" i="1"/>
  <c r="E17" i="1"/>
  <c r="F18" i="1" s="1"/>
  <c r="H18" i="1" s="1"/>
  <c r="I18" i="1" s="1"/>
  <c r="J18" i="1" s="1"/>
  <c r="T21" i="32"/>
  <c r="B23" i="27" l="1"/>
  <c r="H23" i="27"/>
  <c r="A24" i="27"/>
  <c r="F22" i="27"/>
  <c r="E22" i="27"/>
  <c r="J22" i="27"/>
  <c r="I22" i="27"/>
  <c r="D22" i="27"/>
  <c r="G22" i="27"/>
  <c r="H22" i="27"/>
  <c r="L17" i="33"/>
  <c r="C17" i="33"/>
  <c r="M17" i="33"/>
  <c r="F17" i="33"/>
  <c r="A18" i="33"/>
  <c r="P17" i="33"/>
  <c r="D17" i="33"/>
  <c r="G17" i="33" s="1"/>
  <c r="H17" i="33" s="1"/>
  <c r="E17" i="33"/>
  <c r="I17" i="33" s="1"/>
  <c r="J17" i="33" s="1"/>
  <c r="C42" i="52"/>
  <c r="A43" i="52"/>
  <c r="B42" i="52"/>
  <c r="D42" i="52" s="1"/>
  <c r="F20" i="27"/>
  <c r="A21" i="1"/>
  <c r="E20" i="1"/>
  <c r="F20" i="1"/>
  <c r="H20" i="1"/>
  <c r="G20" i="1"/>
  <c r="C20" i="1"/>
  <c r="B20" i="1"/>
  <c r="Q20" i="1" s="1"/>
  <c r="C21" i="20"/>
  <c r="D20" i="20"/>
  <c r="B24" i="32"/>
  <c r="E24" i="32"/>
  <c r="A25" i="32"/>
  <c r="O24" i="32"/>
  <c r="I24" i="32"/>
  <c r="C24" i="32"/>
  <c r="F24" i="32"/>
  <c r="P24" i="32"/>
  <c r="G24" i="32"/>
  <c r="H24" i="32" s="1"/>
  <c r="G20" i="32"/>
  <c r="H20" i="32" s="1"/>
  <c r="N17" i="1"/>
  <c r="S17" i="1" s="1"/>
  <c r="F16" i="33"/>
  <c r="P19" i="32"/>
  <c r="E20" i="32"/>
  <c r="I20" i="32" s="1"/>
  <c r="G19" i="32"/>
  <c r="E19" i="32"/>
  <c r="I19" i="32" s="1"/>
  <c r="E64" i="28"/>
  <c r="F64" i="28" s="1"/>
  <c r="D21" i="32" s="1"/>
  <c r="F65" i="28"/>
  <c r="N19" i="1"/>
  <c r="M19" i="1"/>
  <c r="S19" i="1"/>
  <c r="L19" i="1"/>
  <c r="R19" i="1"/>
  <c r="J19" i="1"/>
  <c r="I19" i="1"/>
  <c r="N23" i="32"/>
  <c r="S23" i="32"/>
  <c r="U23" i="32"/>
  <c r="T23" i="32"/>
  <c r="J23" i="32"/>
  <c r="L23" i="32"/>
  <c r="K23" i="32"/>
  <c r="A75" i="28"/>
  <c r="B75" i="28"/>
  <c r="F75" i="28" s="1"/>
  <c r="F22" i="32"/>
  <c r="D42" i="6"/>
  <c r="B42" i="6"/>
  <c r="C42" i="6"/>
  <c r="A43" i="6"/>
  <c r="AA8" i="21"/>
  <c r="AA4" i="21"/>
  <c r="AA3" i="21"/>
  <c r="AA5" i="21"/>
  <c r="AA6" i="21" s="1"/>
  <c r="F17" i="1"/>
  <c r="H17" i="1" s="1"/>
  <c r="I17" i="1" s="1"/>
  <c r="J17" i="1" s="1"/>
  <c r="C84" i="28"/>
  <c r="B80" i="28"/>
  <c r="D21" i="27"/>
  <c r="F21" i="27" s="1"/>
  <c r="B69" i="28"/>
  <c r="D69" i="28"/>
  <c r="A73" i="28"/>
  <c r="D71" i="28"/>
  <c r="O14" i="23"/>
  <c r="N18" i="23"/>
  <c r="N17" i="23"/>
  <c r="K17" i="28"/>
  <c r="L17" i="28" s="1"/>
  <c r="G18" i="28"/>
  <c r="F19" i="28"/>
  <c r="L18" i="49"/>
  <c r="P18" i="49"/>
  <c r="J18" i="49"/>
  <c r="H18" i="49"/>
  <c r="E18" i="49"/>
  <c r="A19" i="49"/>
  <c r="M18" i="49"/>
  <c r="I18" i="49"/>
  <c r="C18" i="49"/>
  <c r="D18" i="49"/>
  <c r="G18" i="49"/>
  <c r="F18" i="49"/>
  <c r="C19" i="49" l="1"/>
  <c r="G19" i="49"/>
  <c r="F19" i="49"/>
  <c r="P19" i="49"/>
  <c r="J19" i="49"/>
  <c r="H19" i="49"/>
  <c r="E19" i="49"/>
  <c r="A20" i="49"/>
  <c r="M19" i="49"/>
  <c r="I19" i="49"/>
  <c r="L19" i="49"/>
  <c r="D19" i="49"/>
  <c r="P14" i="23"/>
  <c r="O17" i="23"/>
  <c r="O18" i="23"/>
  <c r="E68" i="28"/>
  <c r="F68" i="28" s="1"/>
  <c r="D22" i="32" s="1"/>
  <c r="F69" i="28"/>
  <c r="N24" i="32"/>
  <c r="S24" i="32"/>
  <c r="M20" i="1"/>
  <c r="S20" i="1"/>
  <c r="I20" i="1"/>
  <c r="N20" i="1"/>
  <c r="L20" i="1"/>
  <c r="R20" i="1"/>
  <c r="J20" i="1"/>
  <c r="A25" i="27"/>
  <c r="H24" i="27"/>
  <c r="D24" i="27"/>
  <c r="G24" i="27"/>
  <c r="I24" i="27"/>
  <c r="J24" i="27"/>
  <c r="E24" i="27"/>
  <c r="B24" i="27"/>
  <c r="F24" i="27"/>
  <c r="J23" i="27"/>
  <c r="H21" i="27"/>
  <c r="G21" i="27"/>
  <c r="I21" i="27" s="1"/>
  <c r="B43" i="6"/>
  <c r="D43" i="6"/>
  <c r="A44" i="6"/>
  <c r="C43" i="6"/>
  <c r="O22" i="32"/>
  <c r="G22" i="32"/>
  <c r="H22" i="32" s="1"/>
  <c r="H19" i="32"/>
  <c r="H21" i="1"/>
  <c r="C21" i="1"/>
  <c r="B21" i="1"/>
  <c r="Q21" i="1" s="1"/>
  <c r="F21" i="1"/>
  <c r="A22" i="1"/>
  <c r="E21" i="1"/>
  <c r="G21" i="1"/>
  <c r="D18" i="33"/>
  <c r="I18" i="33"/>
  <c r="C18" i="33"/>
  <c r="G18" i="33"/>
  <c r="F18" i="33"/>
  <c r="L18" i="33"/>
  <c r="P18" i="33"/>
  <c r="J18" i="33"/>
  <c r="H18" i="33"/>
  <c r="E18" i="33"/>
  <c r="A19" i="33"/>
  <c r="M18" i="33"/>
  <c r="I23" i="27"/>
  <c r="F23" i="27"/>
  <c r="B73" i="28"/>
  <c r="D73" i="28"/>
  <c r="A77" i="28"/>
  <c r="D75" i="28"/>
  <c r="E22" i="32"/>
  <c r="I22" i="32" s="1"/>
  <c r="J22" i="32" s="1"/>
  <c r="G21" i="32"/>
  <c r="H21" i="32" s="1"/>
  <c r="P21" i="32"/>
  <c r="U21" i="32" s="1"/>
  <c r="J20" i="32"/>
  <c r="K20" i="32"/>
  <c r="L20" i="32" s="1"/>
  <c r="B25" i="32"/>
  <c r="C25" i="32"/>
  <c r="F25" i="32"/>
  <c r="P25" i="32"/>
  <c r="G25" i="32"/>
  <c r="H25" i="32" s="1"/>
  <c r="A26" i="32"/>
  <c r="E25" i="32"/>
  <c r="O25" i="32"/>
  <c r="I25" i="32"/>
  <c r="C22" i="20"/>
  <c r="D21" i="20"/>
  <c r="C43" i="52"/>
  <c r="A44" i="52"/>
  <c r="B43" i="52"/>
  <c r="D43" i="52"/>
  <c r="B79" i="28"/>
  <c r="F79" i="28" s="1"/>
  <c r="A79" i="28"/>
  <c r="G19" i="28"/>
  <c r="K18" i="28"/>
  <c r="L18" i="28" s="1"/>
  <c r="F20" i="28"/>
  <c r="C88" i="28"/>
  <c r="B84" i="28"/>
  <c r="J21" i="27"/>
  <c r="K19" i="32"/>
  <c r="L19" i="32" s="1"/>
  <c r="J19" i="32"/>
  <c r="U19" i="32"/>
  <c r="E21" i="32"/>
  <c r="I21" i="32" s="1"/>
  <c r="J24" i="32"/>
  <c r="T24" i="32"/>
  <c r="K24" i="32"/>
  <c r="U24" i="32"/>
  <c r="L24" i="32"/>
  <c r="H20" i="27"/>
  <c r="J20" i="27" s="1"/>
  <c r="G20" i="27"/>
  <c r="I20" i="27" s="1"/>
  <c r="E23" i="27"/>
  <c r="D23" i="27"/>
  <c r="G23" i="27"/>
  <c r="B88" i="28" l="1"/>
  <c r="C92" i="28"/>
  <c r="D22" i="20"/>
  <c r="C23" i="20"/>
  <c r="A27" i="32"/>
  <c r="C26" i="32"/>
  <c r="G26" i="32"/>
  <c r="H26" i="32" s="1"/>
  <c r="E26" i="32"/>
  <c r="O26" i="32"/>
  <c r="I26" i="32"/>
  <c r="P26" i="32"/>
  <c r="B26" i="32"/>
  <c r="F26" i="32"/>
  <c r="U25" i="32"/>
  <c r="T25" i="32"/>
  <c r="J25" i="32"/>
  <c r="L25" i="32"/>
  <c r="K25" i="32"/>
  <c r="B77" i="28"/>
  <c r="D77" i="28"/>
  <c r="P22" i="32"/>
  <c r="U22" i="32" s="1"/>
  <c r="T22" i="32"/>
  <c r="I25" i="27"/>
  <c r="A26" i="27"/>
  <c r="E25" i="27" s="1"/>
  <c r="H25" i="27"/>
  <c r="F25" i="27"/>
  <c r="D25" i="27"/>
  <c r="G25" i="27"/>
  <c r="B25" i="27"/>
  <c r="K21" i="32"/>
  <c r="L21" i="32" s="1"/>
  <c r="J21" i="32"/>
  <c r="K19" i="28"/>
  <c r="L19" i="28" s="1"/>
  <c r="G20" i="28"/>
  <c r="F21" i="28"/>
  <c r="A81" i="28"/>
  <c r="D79" i="28"/>
  <c r="C44" i="52"/>
  <c r="B44" i="52"/>
  <c r="D44" i="52"/>
  <c r="A45" i="52"/>
  <c r="N25" i="32"/>
  <c r="S25" i="32"/>
  <c r="E72" i="28"/>
  <c r="F72" i="28" s="1"/>
  <c r="D23" i="32" s="1"/>
  <c r="F73" i="28"/>
  <c r="L19" i="33"/>
  <c r="M19" i="33"/>
  <c r="A20" i="33"/>
  <c r="D19" i="33"/>
  <c r="I19" i="33"/>
  <c r="C19" i="33"/>
  <c r="G19" i="33"/>
  <c r="F19" i="33"/>
  <c r="P19" i="33"/>
  <c r="J19" i="33"/>
  <c r="H19" i="33"/>
  <c r="E19" i="33"/>
  <c r="M21" i="1"/>
  <c r="R21" i="1"/>
  <c r="I21" i="1"/>
  <c r="L21" i="1"/>
  <c r="N21" i="1"/>
  <c r="J21" i="1"/>
  <c r="S21" i="1"/>
  <c r="K22" i="32"/>
  <c r="L22" i="32" s="1"/>
  <c r="D44" i="6"/>
  <c r="C44" i="6"/>
  <c r="B44" i="6"/>
  <c r="A45" i="6"/>
  <c r="Q14" i="23"/>
  <c r="P18" i="23"/>
  <c r="P17" i="23"/>
  <c r="B83" i="28"/>
  <c r="F83" i="28" s="1"/>
  <c r="A83" i="28"/>
  <c r="A23" i="1"/>
  <c r="C22" i="1"/>
  <c r="F22" i="1"/>
  <c r="G22" i="1"/>
  <c r="B22" i="1"/>
  <c r="Q22" i="1" s="1"/>
  <c r="E22" i="1"/>
  <c r="H22" i="1"/>
  <c r="L20" i="49"/>
  <c r="D20" i="49"/>
  <c r="I20" i="49"/>
  <c r="A21" i="49"/>
  <c r="C20" i="49"/>
  <c r="G20" i="49"/>
  <c r="F20" i="49"/>
  <c r="J20" i="49"/>
  <c r="H20" i="49"/>
  <c r="M20" i="49"/>
  <c r="E20" i="49"/>
  <c r="P20" i="49"/>
  <c r="A85" i="28" l="1"/>
  <c r="D83" i="28"/>
  <c r="R14" i="23"/>
  <c r="Q17" i="23"/>
  <c r="Q18" i="23"/>
  <c r="N22" i="1"/>
  <c r="L22" i="1"/>
  <c r="J22" i="1"/>
  <c r="S22" i="1"/>
  <c r="R22" i="1"/>
  <c r="I22" i="1"/>
  <c r="M22" i="1"/>
  <c r="D45" i="6"/>
  <c r="B45" i="6"/>
  <c r="A46" i="6"/>
  <c r="C45" i="6"/>
  <c r="J25" i="27"/>
  <c r="N26" i="32"/>
  <c r="S26" i="32"/>
  <c r="C24" i="20"/>
  <c r="D23" i="20"/>
  <c r="G23" i="1"/>
  <c r="B23" i="1"/>
  <c r="Q23" i="1" s="1"/>
  <c r="E23" i="1"/>
  <c r="F23" i="1"/>
  <c r="H23" i="1"/>
  <c r="A24" i="1"/>
  <c r="C23" i="1"/>
  <c r="P20" i="33"/>
  <c r="J20" i="33"/>
  <c r="H20" i="33"/>
  <c r="E20" i="33"/>
  <c r="M20" i="33"/>
  <c r="L20" i="33"/>
  <c r="D20" i="33"/>
  <c r="I20" i="33"/>
  <c r="A21" i="33"/>
  <c r="C20" i="33"/>
  <c r="G20" i="33"/>
  <c r="F20" i="33"/>
  <c r="C45" i="52"/>
  <c r="D45" i="52"/>
  <c r="B45" i="52"/>
  <c r="A46" i="52"/>
  <c r="E76" i="28"/>
  <c r="F77" i="28"/>
  <c r="B81" i="28"/>
  <c r="D81" i="28"/>
  <c r="B26" i="27"/>
  <c r="E26" i="27"/>
  <c r="A27" i="27"/>
  <c r="G26" i="27" s="1"/>
  <c r="J26" i="27"/>
  <c r="D26" i="27"/>
  <c r="L26" i="32"/>
  <c r="U26" i="32"/>
  <c r="K26" i="32"/>
  <c r="J26" i="32"/>
  <c r="T26" i="32"/>
  <c r="B92" i="28"/>
  <c r="C96" i="28"/>
  <c r="M21" i="49"/>
  <c r="D21" i="49"/>
  <c r="I21" i="49"/>
  <c r="P21" i="49"/>
  <c r="G21" i="49"/>
  <c r="F21" i="49"/>
  <c r="L21" i="49"/>
  <c r="J21" i="49"/>
  <c r="H21" i="49"/>
  <c r="A22" i="49"/>
  <c r="C21" i="49"/>
  <c r="C23" i="49" s="1"/>
  <c r="E5" i="49" s="1"/>
  <c r="E21" i="49"/>
  <c r="G21" i="28"/>
  <c r="K20" i="28"/>
  <c r="L20" i="28" s="1"/>
  <c r="F22" i="28"/>
  <c r="A28" i="32"/>
  <c r="B27" i="32"/>
  <c r="F27" i="32"/>
  <c r="P27" i="32"/>
  <c r="G27" i="32"/>
  <c r="C27" i="32"/>
  <c r="E27" i="32"/>
  <c r="O27" i="32"/>
  <c r="I27" i="32"/>
  <c r="B87" i="28"/>
  <c r="F87" i="28" s="1"/>
  <c r="A87" i="28"/>
  <c r="K11" i="49" l="1"/>
  <c r="K15" i="49"/>
  <c r="K19" i="49"/>
  <c r="K8" i="49"/>
  <c r="K12" i="49"/>
  <c r="K16" i="49"/>
  <c r="K20" i="49"/>
  <c r="K9" i="49"/>
  <c r="K17" i="49"/>
  <c r="K10" i="49"/>
  <c r="K18" i="49"/>
  <c r="K13" i="49"/>
  <c r="K21" i="49"/>
  <c r="K14" i="49"/>
  <c r="K22" i="49"/>
  <c r="B91" i="28"/>
  <c r="F91" i="28" s="1"/>
  <c r="A91" i="28"/>
  <c r="I26" i="27"/>
  <c r="E80" i="28"/>
  <c r="F80" i="28" s="1"/>
  <c r="D25" i="32" s="1"/>
  <c r="F81" i="28"/>
  <c r="A25" i="1"/>
  <c r="E24" i="1"/>
  <c r="F24" i="1"/>
  <c r="H24" i="1"/>
  <c r="C24" i="1"/>
  <c r="G24" i="1"/>
  <c r="B24" i="1"/>
  <c r="Q24" i="1" s="1"/>
  <c r="D46" i="6"/>
  <c r="C46" i="6"/>
  <c r="B46" i="6"/>
  <c r="A47" i="6"/>
  <c r="S14" i="23"/>
  <c r="R18" i="23"/>
  <c r="R17" i="23"/>
  <c r="K21" i="28"/>
  <c r="L21" i="28" s="1"/>
  <c r="G22" i="28"/>
  <c r="F23" i="28"/>
  <c r="A89" i="28"/>
  <c r="D87" i="28"/>
  <c r="L22" i="49"/>
  <c r="P22" i="49"/>
  <c r="P23" i="49" s="1"/>
  <c r="J22" i="49"/>
  <c r="J23" i="49" s="1"/>
  <c r="H22" i="49"/>
  <c r="H23" i="49" s="1"/>
  <c r="E22" i="49"/>
  <c r="M22" i="49"/>
  <c r="M23" i="49" s="1"/>
  <c r="C22" i="49"/>
  <c r="D22" i="49"/>
  <c r="G22" i="49"/>
  <c r="F22" i="49"/>
  <c r="F23" i="49" s="1"/>
  <c r="I22" i="49"/>
  <c r="F26" i="27"/>
  <c r="T27" i="32"/>
  <c r="U27" i="32"/>
  <c r="K27" i="32"/>
  <c r="L27" i="32"/>
  <c r="J27" i="32"/>
  <c r="N27" i="32"/>
  <c r="S27" i="32"/>
  <c r="E27" i="27"/>
  <c r="B27" i="27"/>
  <c r="A28" i="27"/>
  <c r="H27" i="27"/>
  <c r="J27" i="27"/>
  <c r="F27" i="27"/>
  <c r="G27" i="27"/>
  <c r="H26" i="27"/>
  <c r="F76" i="28"/>
  <c r="D24" i="32" s="1"/>
  <c r="L21" i="33"/>
  <c r="C21" i="33"/>
  <c r="C23" i="33" s="1"/>
  <c r="E5" i="33" s="1"/>
  <c r="G21" i="33"/>
  <c r="F21" i="33"/>
  <c r="A22" i="33"/>
  <c r="P21" i="33"/>
  <c r="J21" i="33"/>
  <c r="H21" i="33"/>
  <c r="E21" i="33"/>
  <c r="M21" i="33"/>
  <c r="D21" i="33"/>
  <c r="I21" i="33"/>
  <c r="B85" i="28"/>
  <c r="D85" i="28"/>
  <c r="H27" i="32"/>
  <c r="B28" i="32"/>
  <c r="C28" i="32"/>
  <c r="E28" i="32"/>
  <c r="O28" i="32"/>
  <c r="I28" i="32"/>
  <c r="F28" i="32"/>
  <c r="P28" i="32"/>
  <c r="A29" i="32"/>
  <c r="G28" i="32"/>
  <c r="H28" i="32" s="1"/>
  <c r="C100" i="28"/>
  <c r="B96" i="28"/>
  <c r="C46" i="52"/>
  <c r="A47" i="52"/>
  <c r="D46" i="52"/>
  <c r="B46" i="52"/>
  <c r="N23" i="1"/>
  <c r="R23" i="1"/>
  <c r="S23" i="1"/>
  <c r="J23" i="1"/>
  <c r="M23" i="1"/>
  <c r="I23" i="1"/>
  <c r="L23" i="1"/>
  <c r="C25" i="20"/>
  <c r="D24" i="20"/>
  <c r="C104" i="28" l="1"/>
  <c r="B100" i="28"/>
  <c r="J28" i="32"/>
  <c r="U28" i="32"/>
  <c r="T28" i="32"/>
  <c r="L28" i="32"/>
  <c r="K28" i="32"/>
  <c r="K9" i="33"/>
  <c r="K13" i="33"/>
  <c r="K17" i="33"/>
  <c r="K21" i="33"/>
  <c r="K10" i="33"/>
  <c r="K14" i="33"/>
  <c r="K18" i="33"/>
  <c r="K22" i="33"/>
  <c r="K11" i="33"/>
  <c r="K15" i="33"/>
  <c r="K19" i="33"/>
  <c r="K8" i="33"/>
  <c r="K12" i="33"/>
  <c r="K16" i="33"/>
  <c r="K20" i="33"/>
  <c r="B47" i="6"/>
  <c r="D47" i="6"/>
  <c r="A48" i="6"/>
  <c r="C47" i="6"/>
  <c r="C47" i="52"/>
  <c r="A48" i="52"/>
  <c r="B47" i="52"/>
  <c r="D47" i="52"/>
  <c r="N28" i="32"/>
  <c r="S28" i="32"/>
  <c r="E84" i="28"/>
  <c r="F85" i="28"/>
  <c r="D22" i="33"/>
  <c r="I22" i="33"/>
  <c r="G22" i="33"/>
  <c r="F22" i="33"/>
  <c r="F23" i="33" s="1"/>
  <c r="L22" i="33"/>
  <c r="P22" i="33"/>
  <c r="P23" i="33" s="1"/>
  <c r="J22" i="33"/>
  <c r="J23" i="33" s="1"/>
  <c r="H22" i="33"/>
  <c r="H23" i="33" s="1"/>
  <c r="E22" i="33"/>
  <c r="M22" i="33"/>
  <c r="M23" i="33" s="1"/>
  <c r="C22" i="33"/>
  <c r="F28" i="27"/>
  <c r="I28" i="27"/>
  <c r="B28" i="27"/>
  <c r="A29" i="27"/>
  <c r="H28" i="27"/>
  <c r="B89" i="28"/>
  <c r="D89" i="28"/>
  <c r="F29" i="32"/>
  <c r="B29" i="32"/>
  <c r="A30" i="32"/>
  <c r="G29" i="32"/>
  <c r="H29" i="32" s="1"/>
  <c r="P29" i="32"/>
  <c r="E29" i="32"/>
  <c r="C29" i="32"/>
  <c r="O29" i="32"/>
  <c r="I29" i="32"/>
  <c r="G23" i="28"/>
  <c r="K22" i="28"/>
  <c r="L22" i="28" s="1"/>
  <c r="F24" i="28"/>
  <c r="M24" i="1"/>
  <c r="R24" i="1"/>
  <c r="L24" i="1"/>
  <c r="J24" i="1"/>
  <c r="S24" i="1"/>
  <c r="I24" i="1"/>
  <c r="N24" i="1"/>
  <c r="H25" i="1"/>
  <c r="C25" i="1"/>
  <c r="F25" i="1"/>
  <c r="B25" i="1"/>
  <c r="Q25" i="1" s="1"/>
  <c r="A26" i="1"/>
  <c r="G25" i="1"/>
  <c r="E25" i="1"/>
  <c r="C26" i="20"/>
  <c r="D25" i="20"/>
  <c r="A95" i="28"/>
  <c r="B95" i="28"/>
  <c r="F95" i="28" s="1"/>
  <c r="D27" i="27"/>
  <c r="I27" i="27"/>
  <c r="T14" i="23"/>
  <c r="S18" i="23"/>
  <c r="S17" i="23"/>
  <c r="A93" i="28"/>
  <c r="D91" i="28"/>
  <c r="A27" i="1" l="1"/>
  <c r="C26" i="1"/>
  <c r="F26" i="1"/>
  <c r="G26" i="1"/>
  <c r="B26" i="1"/>
  <c r="Q26" i="1" s="1"/>
  <c r="E26" i="1"/>
  <c r="H26" i="1"/>
  <c r="K23" i="28"/>
  <c r="L23" i="28" s="1"/>
  <c r="G24" i="28"/>
  <c r="A30" i="27"/>
  <c r="G29" i="27" s="1"/>
  <c r="B29" i="27"/>
  <c r="H29" i="27"/>
  <c r="D28" i="27"/>
  <c r="C48" i="52"/>
  <c r="B48" i="52"/>
  <c r="D48" i="52"/>
  <c r="A49" i="52"/>
  <c r="D26" i="20"/>
  <c r="C27" i="20"/>
  <c r="K29" i="32"/>
  <c r="L29" i="32"/>
  <c r="T29" i="32"/>
  <c r="U29" i="32"/>
  <c r="J29" i="32"/>
  <c r="A31" i="32"/>
  <c r="F30" i="32"/>
  <c r="C30" i="32"/>
  <c r="E30" i="32"/>
  <c r="B30" i="32"/>
  <c r="O30" i="32"/>
  <c r="I30" i="32"/>
  <c r="G30" i="32"/>
  <c r="H30" i="32" s="1"/>
  <c r="P30" i="32"/>
  <c r="E88" i="28"/>
  <c r="F89" i="28"/>
  <c r="J28" i="27"/>
  <c r="U14" i="23"/>
  <c r="T18" i="23"/>
  <c r="T17" i="23"/>
  <c r="N29" i="32"/>
  <c r="S29" i="32"/>
  <c r="B99" i="28"/>
  <c r="F99" i="28" s="1"/>
  <c r="A99" i="28"/>
  <c r="B93" i="28"/>
  <c r="D93" i="28"/>
  <c r="A97" i="28"/>
  <c r="D95" i="28"/>
  <c r="M25" i="1"/>
  <c r="S25" i="1"/>
  <c r="N25" i="1"/>
  <c r="R25" i="1"/>
  <c r="I25" i="1"/>
  <c r="L25" i="1"/>
  <c r="J25" i="1"/>
  <c r="G28" i="27"/>
  <c r="E28" i="27"/>
  <c r="F84" i="28"/>
  <c r="D26" i="32" s="1"/>
  <c r="D48" i="6"/>
  <c r="C48" i="6"/>
  <c r="B48" i="6"/>
  <c r="A49" i="6"/>
  <c r="C108" i="28"/>
  <c r="B104" i="28"/>
  <c r="B103" i="28" l="1"/>
  <c r="F103" i="28" s="1"/>
  <c r="A103" i="28"/>
  <c r="C112" i="28"/>
  <c r="B108" i="28"/>
  <c r="D49" i="6"/>
  <c r="B49" i="6"/>
  <c r="A50" i="6"/>
  <c r="C49" i="6"/>
  <c r="F88" i="28"/>
  <c r="D27" i="32" s="1"/>
  <c r="J29" i="27"/>
  <c r="E92" i="28"/>
  <c r="F93" i="28"/>
  <c r="V14" i="23"/>
  <c r="U17" i="23"/>
  <c r="U18" i="23"/>
  <c r="N30" i="32"/>
  <c r="S30" i="32"/>
  <c r="G31" i="32"/>
  <c r="H31" i="32" s="1"/>
  <c r="A32" i="32"/>
  <c r="F31" i="32"/>
  <c r="C31" i="32"/>
  <c r="P31" i="32"/>
  <c r="B31" i="32"/>
  <c r="E31" i="32"/>
  <c r="O31" i="32"/>
  <c r="I31" i="32"/>
  <c r="C49" i="52"/>
  <c r="D49" i="52"/>
  <c r="B49" i="52"/>
  <c r="A50" i="52"/>
  <c r="E29" i="27"/>
  <c r="F29" i="27"/>
  <c r="I29" i="27"/>
  <c r="D29" i="27"/>
  <c r="N26" i="1"/>
  <c r="L26" i="1"/>
  <c r="J26" i="1"/>
  <c r="S26" i="1"/>
  <c r="I26" i="1"/>
  <c r="M26" i="1"/>
  <c r="R26" i="1"/>
  <c r="B97" i="28"/>
  <c r="D97" i="28"/>
  <c r="A101" i="28"/>
  <c r="D99" i="28"/>
  <c r="L30" i="32"/>
  <c r="T30" i="32"/>
  <c r="K30" i="32"/>
  <c r="J30" i="32"/>
  <c r="U30" i="32"/>
  <c r="C28" i="20"/>
  <c r="D27" i="20"/>
  <c r="A31" i="27"/>
  <c r="G30" i="27" s="1"/>
  <c r="H30" i="27"/>
  <c r="B30" i="27"/>
  <c r="E30" i="27"/>
  <c r="F30" i="27"/>
  <c r="I30" i="27"/>
  <c r="J30" i="27"/>
  <c r="G27" i="1"/>
  <c r="B27" i="1"/>
  <c r="Q27" i="1" s="1"/>
  <c r="E27" i="1"/>
  <c r="F27" i="1"/>
  <c r="H27" i="1"/>
  <c r="C27" i="1"/>
  <c r="A28" i="1"/>
  <c r="A29" i="1" l="1"/>
  <c r="E28" i="1"/>
  <c r="F28" i="1"/>
  <c r="H28" i="1"/>
  <c r="G28" i="1"/>
  <c r="C28" i="1"/>
  <c r="B28" i="1"/>
  <c r="Q28" i="1" s="1"/>
  <c r="N27" i="1"/>
  <c r="M27" i="1"/>
  <c r="S27" i="1"/>
  <c r="I27" i="1"/>
  <c r="L27" i="1"/>
  <c r="J27" i="1"/>
  <c r="R27" i="1"/>
  <c r="D30" i="27"/>
  <c r="C29" i="20"/>
  <c r="D28" i="20"/>
  <c r="N31" i="32"/>
  <c r="S31" i="32"/>
  <c r="B32" i="32"/>
  <c r="G32" i="32"/>
  <c r="H32" i="32" s="1"/>
  <c r="F32" i="32"/>
  <c r="E32" i="32"/>
  <c r="A33" i="32"/>
  <c r="C32" i="32"/>
  <c r="O32" i="32"/>
  <c r="I32" i="32"/>
  <c r="P32" i="32"/>
  <c r="F92" i="28"/>
  <c r="D28" i="32" s="1"/>
  <c r="D50" i="6"/>
  <c r="C50" i="6"/>
  <c r="A51" i="6"/>
  <c r="B50" i="6"/>
  <c r="C116" i="28"/>
  <c r="B112" i="28"/>
  <c r="E96" i="28"/>
  <c r="F97" i="28"/>
  <c r="C50" i="52"/>
  <c r="A51" i="52"/>
  <c r="D50" i="52"/>
  <c r="B50" i="52"/>
  <c r="I31" i="27"/>
  <c r="B31" i="27"/>
  <c r="A32" i="27"/>
  <c r="E31" i="27" s="1"/>
  <c r="D31" i="27"/>
  <c r="U31" i="32"/>
  <c r="T31" i="32"/>
  <c r="J31" i="32"/>
  <c r="K31" i="32"/>
  <c r="L31" i="32"/>
  <c r="W14" i="23"/>
  <c r="V18" i="23"/>
  <c r="V17" i="23"/>
  <c r="A105" i="28"/>
  <c r="D103" i="28"/>
  <c r="B101" i="28"/>
  <c r="D101" i="28"/>
  <c r="B107" i="28"/>
  <c r="F107" i="28" s="1"/>
  <c r="A107" i="28"/>
  <c r="E100" i="28" l="1"/>
  <c r="F101" i="28"/>
  <c r="G31" i="27"/>
  <c r="A109" i="28"/>
  <c r="D107" i="28"/>
  <c r="X14" i="23"/>
  <c r="W17" i="23"/>
  <c r="W18" i="23"/>
  <c r="F31" i="27"/>
  <c r="F96" i="28"/>
  <c r="D29" i="32" s="1"/>
  <c r="B51" i="6"/>
  <c r="D51" i="6"/>
  <c r="A52" i="6"/>
  <c r="C51" i="6"/>
  <c r="B33" i="32"/>
  <c r="G33" i="32"/>
  <c r="H33" i="32" s="1"/>
  <c r="P33" i="32"/>
  <c r="C33" i="32"/>
  <c r="A34" i="32"/>
  <c r="E33" i="32"/>
  <c r="F33" i="32"/>
  <c r="O33" i="32"/>
  <c r="I33" i="32"/>
  <c r="N32" i="32"/>
  <c r="S32" i="32"/>
  <c r="C30" i="20"/>
  <c r="D29" i="20"/>
  <c r="C51" i="52"/>
  <c r="A52" i="52"/>
  <c r="B51" i="52"/>
  <c r="D51" i="52"/>
  <c r="A111" i="28"/>
  <c r="B111" i="28"/>
  <c r="F111" i="28" s="1"/>
  <c r="B105" i="28"/>
  <c r="D105" i="28"/>
  <c r="J31" i="27"/>
  <c r="H31" i="27"/>
  <c r="C120" i="28"/>
  <c r="B116" i="28"/>
  <c r="M28" i="1"/>
  <c r="S28" i="1"/>
  <c r="I28" i="1"/>
  <c r="R28" i="1"/>
  <c r="N28" i="1"/>
  <c r="L28" i="1"/>
  <c r="J28" i="1"/>
  <c r="B32" i="27"/>
  <c r="A33" i="27"/>
  <c r="J32" i="32"/>
  <c r="T32" i="32"/>
  <c r="U32" i="32"/>
  <c r="K32" i="32"/>
  <c r="L32" i="32"/>
  <c r="H29" i="1"/>
  <c r="C29" i="1"/>
  <c r="B29" i="1"/>
  <c r="Q29" i="1" s="1"/>
  <c r="F29" i="1"/>
  <c r="A30" i="1"/>
  <c r="G29" i="1"/>
  <c r="E29" i="1"/>
  <c r="A34" i="27" l="1"/>
  <c r="J33" i="27" s="1"/>
  <c r="B33" i="27"/>
  <c r="I32" i="27"/>
  <c r="F32" i="27"/>
  <c r="A115" i="28"/>
  <c r="B115" i="28"/>
  <c r="F115" i="28" s="1"/>
  <c r="A113" i="28"/>
  <c r="D111" i="28"/>
  <c r="B109" i="28"/>
  <c r="D109" i="28"/>
  <c r="N29" i="1"/>
  <c r="M29" i="1"/>
  <c r="R29" i="1"/>
  <c r="I29" i="1"/>
  <c r="J29" i="1"/>
  <c r="L29" i="1"/>
  <c r="S29" i="1"/>
  <c r="E32" i="27"/>
  <c r="C124" i="28"/>
  <c r="B120" i="28"/>
  <c r="E104" i="28"/>
  <c r="F105" i="28"/>
  <c r="A35" i="32"/>
  <c r="G34" i="32"/>
  <c r="H34" i="32" s="1"/>
  <c r="C34" i="32"/>
  <c r="E34" i="32"/>
  <c r="F34" i="32"/>
  <c r="O34" i="32"/>
  <c r="I34" i="32"/>
  <c r="P34" i="32"/>
  <c r="B34" i="32"/>
  <c r="N33" i="32"/>
  <c r="S33" i="32"/>
  <c r="A31" i="1"/>
  <c r="C30" i="1"/>
  <c r="F30" i="1"/>
  <c r="G30" i="1"/>
  <c r="E30" i="1"/>
  <c r="H30" i="1"/>
  <c r="B30" i="1"/>
  <c r="Q30" i="1" s="1"/>
  <c r="H32" i="27"/>
  <c r="D32" i="27"/>
  <c r="D30" i="20"/>
  <c r="C31" i="20"/>
  <c r="U33" i="32"/>
  <c r="T33" i="32"/>
  <c r="L33" i="32"/>
  <c r="K33" i="32"/>
  <c r="J33" i="32"/>
  <c r="Y14" i="23"/>
  <c r="X18" i="23"/>
  <c r="X17" i="23"/>
  <c r="G32" i="27"/>
  <c r="J32" i="27"/>
  <c r="C52" i="52"/>
  <c r="B52" i="52"/>
  <c r="D52" i="52"/>
  <c r="A53" i="52"/>
  <c r="D52" i="6"/>
  <c r="C52" i="6"/>
  <c r="B52" i="6"/>
  <c r="A53" i="6"/>
  <c r="F100" i="28"/>
  <c r="D30" i="32" s="1"/>
  <c r="C32" i="20" l="1"/>
  <c r="D31" i="20"/>
  <c r="A119" i="28"/>
  <c r="B119" i="28"/>
  <c r="F119" i="28" s="1"/>
  <c r="A117" i="28"/>
  <c r="D115" i="28"/>
  <c r="E33" i="27"/>
  <c r="H33" i="27"/>
  <c r="M30" i="1"/>
  <c r="R30" i="1"/>
  <c r="S30" i="1"/>
  <c r="L30" i="1"/>
  <c r="J30" i="1"/>
  <c r="I30" i="1"/>
  <c r="N30" i="1"/>
  <c r="N34" i="32"/>
  <c r="S34" i="32"/>
  <c r="A36" i="32"/>
  <c r="B35" i="32"/>
  <c r="P35" i="32"/>
  <c r="F35" i="32"/>
  <c r="C35" i="32"/>
  <c r="E35" i="32"/>
  <c r="G35" i="32"/>
  <c r="H35" i="32" s="1"/>
  <c r="O35" i="32"/>
  <c r="I35" i="32"/>
  <c r="B124" i="28"/>
  <c r="C128" i="28"/>
  <c r="D113" i="28"/>
  <c r="B113" i="28"/>
  <c r="D33" i="27"/>
  <c r="C53" i="52"/>
  <c r="D53" i="52"/>
  <c r="B53" i="52"/>
  <c r="A54" i="52"/>
  <c r="Z14" i="23"/>
  <c r="Y17" i="23"/>
  <c r="Y18" i="23"/>
  <c r="G31" i="1"/>
  <c r="F31" i="1"/>
  <c r="E31" i="1"/>
  <c r="C31" i="1"/>
  <c r="H31" i="1"/>
  <c r="B31" i="1"/>
  <c r="Q31" i="1" s="1"/>
  <c r="A32" i="1"/>
  <c r="A35" i="27"/>
  <c r="H34" i="27"/>
  <c r="B34" i="27"/>
  <c r="I34" i="27"/>
  <c r="J34" i="27"/>
  <c r="F34" i="27"/>
  <c r="D34" i="27"/>
  <c r="F33" i="27"/>
  <c r="D53" i="6"/>
  <c r="B53" i="6"/>
  <c r="A54" i="6"/>
  <c r="C53" i="6"/>
  <c r="T34" i="32"/>
  <c r="U34" i="32"/>
  <c r="K34" i="32"/>
  <c r="L34" i="32"/>
  <c r="J34" i="32"/>
  <c r="F104" i="28"/>
  <c r="D31" i="32" s="1"/>
  <c r="E108" i="28"/>
  <c r="F109" i="28"/>
  <c r="I33" i="27"/>
  <c r="G33" i="27"/>
  <c r="C54" i="52" l="1"/>
  <c r="A55" i="52"/>
  <c r="D54" i="52"/>
  <c r="B54" i="52"/>
  <c r="B123" i="28"/>
  <c r="F123" i="28" s="1"/>
  <c r="A123" i="28"/>
  <c r="N35" i="32"/>
  <c r="S35" i="32"/>
  <c r="D54" i="6"/>
  <c r="C54" i="6"/>
  <c r="A55" i="6"/>
  <c r="B54" i="6"/>
  <c r="B35" i="27"/>
  <c r="A36" i="27"/>
  <c r="E35" i="27" s="1"/>
  <c r="F35" i="27"/>
  <c r="S31" i="1"/>
  <c r="N31" i="1"/>
  <c r="J31" i="1"/>
  <c r="R31" i="1"/>
  <c r="I31" i="1"/>
  <c r="M31" i="1"/>
  <c r="L31" i="1"/>
  <c r="F113" i="28"/>
  <c r="E112" i="28"/>
  <c r="F112" i="28" s="1"/>
  <c r="K35" i="32"/>
  <c r="L35" i="32"/>
  <c r="U35" i="32"/>
  <c r="J35" i="32"/>
  <c r="T35" i="32"/>
  <c r="B36" i="32"/>
  <c r="C36" i="32"/>
  <c r="F36" i="32"/>
  <c r="E36" i="32"/>
  <c r="G36" i="32"/>
  <c r="H36" i="32" s="1"/>
  <c r="O36" i="32"/>
  <c r="I36" i="32"/>
  <c r="P36" i="32"/>
  <c r="A37" i="32"/>
  <c r="A121" i="28"/>
  <c r="D119" i="28"/>
  <c r="A33" i="1"/>
  <c r="C32" i="1"/>
  <c r="F32" i="1"/>
  <c r="H32" i="1"/>
  <c r="B32" i="1"/>
  <c r="Q32" i="1" s="1"/>
  <c r="G32" i="1"/>
  <c r="E32" i="1"/>
  <c r="B117" i="28"/>
  <c r="D117" i="28"/>
  <c r="F108" i="28"/>
  <c r="D32" i="32" s="1"/>
  <c r="E34" i="27"/>
  <c r="G34" i="27"/>
  <c r="AA14" i="23"/>
  <c r="Z18" i="23"/>
  <c r="Z17" i="23"/>
  <c r="C132" i="28"/>
  <c r="B128" i="28"/>
  <c r="C33" i="20"/>
  <c r="D32" i="20"/>
  <c r="B127" i="28" l="1"/>
  <c r="F127" i="28" s="1"/>
  <c r="A127" i="28"/>
  <c r="AB14" i="23"/>
  <c r="AA18" i="23"/>
  <c r="AA17" i="23"/>
  <c r="H33" i="1"/>
  <c r="C33" i="1"/>
  <c r="F33" i="1"/>
  <c r="B33" i="1"/>
  <c r="Q33" i="1" s="1"/>
  <c r="A34" i="1"/>
  <c r="G33" i="1"/>
  <c r="E33" i="1"/>
  <c r="J35" i="27"/>
  <c r="B55" i="6"/>
  <c r="D55" i="6"/>
  <c r="A56" i="6"/>
  <c r="C55" i="6"/>
  <c r="C34" i="20"/>
  <c r="D33" i="20"/>
  <c r="C136" i="28"/>
  <c r="B132" i="28"/>
  <c r="E116" i="28"/>
  <c r="F116" i="28" s="1"/>
  <c r="D34" i="32" s="1"/>
  <c r="F117" i="28"/>
  <c r="D35" i="27"/>
  <c r="I35" i="27"/>
  <c r="B121" i="28"/>
  <c r="D121" i="28"/>
  <c r="U36" i="32"/>
  <c r="J36" i="32"/>
  <c r="L36" i="32"/>
  <c r="K36" i="32"/>
  <c r="T36" i="32"/>
  <c r="G35" i="27"/>
  <c r="H35" i="27"/>
  <c r="A125" i="28"/>
  <c r="D123" i="28"/>
  <c r="C55" i="52"/>
  <c r="A56" i="52"/>
  <c r="B55" i="52"/>
  <c r="D55" i="52"/>
  <c r="M32" i="1"/>
  <c r="L32" i="1"/>
  <c r="S32" i="1"/>
  <c r="J32" i="1"/>
  <c r="N32" i="1"/>
  <c r="I32" i="1"/>
  <c r="R32" i="1"/>
  <c r="F37" i="32"/>
  <c r="B37" i="32"/>
  <c r="A38" i="32"/>
  <c r="P37" i="32"/>
  <c r="G37" i="32"/>
  <c r="H37" i="32" s="1"/>
  <c r="E37" i="32"/>
  <c r="C37" i="32"/>
  <c r="O37" i="32"/>
  <c r="I37" i="32"/>
  <c r="N36" i="32"/>
  <c r="S36" i="32"/>
  <c r="B36" i="27"/>
  <c r="A37" i="27"/>
  <c r="A38" i="27" l="1"/>
  <c r="B37" i="27"/>
  <c r="H37" i="27"/>
  <c r="D36" i="27"/>
  <c r="N37" i="32"/>
  <c r="S37" i="32"/>
  <c r="H36" i="27"/>
  <c r="I36" i="27"/>
  <c r="F36" i="27"/>
  <c r="B125" i="28"/>
  <c r="D125" i="28"/>
  <c r="N33" i="1"/>
  <c r="M33" i="1"/>
  <c r="R33" i="1"/>
  <c r="I33" i="1"/>
  <c r="J33" i="1"/>
  <c r="S33" i="1"/>
  <c r="L33" i="1"/>
  <c r="AB18" i="23"/>
  <c r="AB17" i="23"/>
  <c r="G36" i="27"/>
  <c r="E36" i="27"/>
  <c r="U37" i="32"/>
  <c r="T37" i="32"/>
  <c r="L37" i="32"/>
  <c r="K37" i="32"/>
  <c r="J37" i="32"/>
  <c r="A39" i="32"/>
  <c r="F38" i="32"/>
  <c r="C38" i="32"/>
  <c r="G38" i="32"/>
  <c r="H38" i="32" s="1"/>
  <c r="E38" i="32"/>
  <c r="B38" i="32"/>
  <c r="O38" i="32"/>
  <c r="I38" i="32"/>
  <c r="P38" i="32"/>
  <c r="C56" i="52"/>
  <c r="B56" i="52"/>
  <c r="D56" i="52"/>
  <c r="A57" i="52"/>
  <c r="E120" i="28"/>
  <c r="F121" i="28"/>
  <c r="D34" i="20"/>
  <c r="C35" i="20"/>
  <c r="A35" i="1"/>
  <c r="C34" i="1"/>
  <c r="F34" i="1"/>
  <c r="G34" i="1"/>
  <c r="E34" i="1"/>
  <c r="H34" i="1"/>
  <c r="B34" i="1"/>
  <c r="Q34" i="1" s="1"/>
  <c r="B131" i="28"/>
  <c r="F131" i="28" s="1"/>
  <c r="A131" i="28"/>
  <c r="A129" i="28"/>
  <c r="D127" i="28"/>
  <c r="J36" i="27"/>
  <c r="C140" i="28"/>
  <c r="B136" i="28"/>
  <c r="D56" i="6"/>
  <c r="C56" i="6"/>
  <c r="B56" i="6"/>
  <c r="A57" i="6"/>
  <c r="D57" i="6" l="1"/>
  <c r="B57" i="6"/>
  <c r="A58" i="6"/>
  <c r="C57" i="6"/>
  <c r="B140" i="28"/>
  <c r="C144" i="28"/>
  <c r="M34" i="1"/>
  <c r="R34" i="1"/>
  <c r="S34" i="1"/>
  <c r="L34" i="1"/>
  <c r="I34" i="1"/>
  <c r="J34" i="1"/>
  <c r="N34" i="1"/>
  <c r="T38" i="32"/>
  <c r="U38" i="32"/>
  <c r="K38" i="32"/>
  <c r="L38" i="32"/>
  <c r="J38" i="32"/>
  <c r="E124" i="28"/>
  <c r="F124" i="28" s="1"/>
  <c r="D36" i="32" s="1"/>
  <c r="F125" i="28"/>
  <c r="A39" i="27"/>
  <c r="H38" i="27" s="1"/>
  <c r="B38" i="27"/>
  <c r="E38" i="27"/>
  <c r="J38" i="27"/>
  <c r="A133" i="28"/>
  <c r="D131" i="28"/>
  <c r="G35" i="1"/>
  <c r="F35" i="1"/>
  <c r="H35" i="1"/>
  <c r="C35" i="1"/>
  <c r="E35" i="1"/>
  <c r="A36" i="1"/>
  <c r="B35" i="1"/>
  <c r="Q35" i="1" s="1"/>
  <c r="F120" i="28"/>
  <c r="D35" i="32" s="1"/>
  <c r="N38" i="32"/>
  <c r="S38" i="32"/>
  <c r="J37" i="27"/>
  <c r="C36" i="20"/>
  <c r="D35" i="20"/>
  <c r="C57" i="52"/>
  <c r="D57" i="52"/>
  <c r="B57" i="52"/>
  <c r="A58" i="52"/>
  <c r="G39" i="32"/>
  <c r="H39" i="32" s="1"/>
  <c r="A40" i="32"/>
  <c r="F39" i="32"/>
  <c r="C39" i="32"/>
  <c r="P39" i="32"/>
  <c r="B39" i="32"/>
  <c r="E39" i="32"/>
  <c r="O39" i="32"/>
  <c r="I39" i="32"/>
  <c r="E37" i="27"/>
  <c r="F37" i="27"/>
  <c r="A135" i="28"/>
  <c r="B135" i="28"/>
  <c r="F135" i="28" s="1"/>
  <c r="B129" i="28"/>
  <c r="D129" i="28"/>
  <c r="I37" i="27"/>
  <c r="D37" i="27"/>
  <c r="G37" i="27"/>
  <c r="A137" i="28" l="1"/>
  <c r="D135" i="28"/>
  <c r="K39" i="32"/>
  <c r="L39" i="32"/>
  <c r="U39" i="32"/>
  <c r="J39" i="32"/>
  <c r="T39" i="32"/>
  <c r="C58" i="52"/>
  <c r="A59" i="52"/>
  <c r="D58" i="52"/>
  <c r="B58" i="52"/>
  <c r="I38" i="27"/>
  <c r="E128" i="28"/>
  <c r="F129" i="28"/>
  <c r="C37" i="20"/>
  <c r="D36" i="20"/>
  <c r="S35" i="1"/>
  <c r="N35" i="1"/>
  <c r="J35" i="1"/>
  <c r="R35" i="1"/>
  <c r="L35" i="1"/>
  <c r="M35" i="1"/>
  <c r="I35" i="1"/>
  <c r="D38" i="27"/>
  <c r="G38" i="27"/>
  <c r="D58" i="6"/>
  <c r="C58" i="6"/>
  <c r="A59" i="6"/>
  <c r="B58" i="6"/>
  <c r="N39" i="32"/>
  <c r="S39" i="32"/>
  <c r="B40" i="32"/>
  <c r="G40" i="32"/>
  <c r="H40" i="32" s="1"/>
  <c r="F40" i="32"/>
  <c r="E40" i="32"/>
  <c r="A41" i="32"/>
  <c r="O40" i="32"/>
  <c r="I40" i="32"/>
  <c r="P40" i="32"/>
  <c r="C40" i="32"/>
  <c r="B133" i="28"/>
  <c r="D133" i="28"/>
  <c r="F38" i="27"/>
  <c r="B144" i="28"/>
  <c r="C148" i="28"/>
  <c r="B148" i="28" s="1"/>
  <c r="A37" i="1"/>
  <c r="C36" i="1"/>
  <c r="F36" i="1"/>
  <c r="H36" i="1"/>
  <c r="G36" i="1"/>
  <c r="B36" i="1"/>
  <c r="Q36" i="1" s="1"/>
  <c r="E36" i="1"/>
  <c r="B39" i="27"/>
  <c r="A40" i="27"/>
  <c r="B139" i="28"/>
  <c r="F139" i="28" s="1"/>
  <c r="A139" i="28"/>
  <c r="B40" i="27" l="1"/>
  <c r="A41" i="27"/>
  <c r="J40" i="27" s="1"/>
  <c r="A143" i="28"/>
  <c r="B143" i="28"/>
  <c r="F143" i="28" s="1"/>
  <c r="U40" i="32"/>
  <c r="J40" i="32"/>
  <c r="K40" i="32"/>
  <c r="T40" i="32"/>
  <c r="L40" i="32"/>
  <c r="B41" i="32"/>
  <c r="G41" i="32"/>
  <c r="P41" i="32"/>
  <c r="P42" i="32" s="1"/>
  <c r="F41" i="32"/>
  <c r="C41" i="32"/>
  <c r="E41" i="32"/>
  <c r="O41" i="32"/>
  <c r="I41" i="32"/>
  <c r="N40" i="32"/>
  <c r="S40" i="32"/>
  <c r="D59" i="6"/>
  <c r="A60" i="6"/>
  <c r="C59" i="6"/>
  <c r="B59" i="6"/>
  <c r="A141" i="28"/>
  <c r="D139" i="28"/>
  <c r="F39" i="27"/>
  <c r="S36" i="1"/>
  <c r="J36" i="1"/>
  <c r="M36" i="1"/>
  <c r="I36" i="1"/>
  <c r="N36" i="1"/>
  <c r="R36" i="1"/>
  <c r="L36" i="1"/>
  <c r="C38" i="20"/>
  <c r="D37" i="20"/>
  <c r="G39" i="27"/>
  <c r="D39" i="27"/>
  <c r="I39" i="27"/>
  <c r="H37" i="1"/>
  <c r="C37" i="1"/>
  <c r="B37" i="1"/>
  <c r="Q37" i="1" s="1"/>
  <c r="F37" i="1"/>
  <c r="A38" i="1"/>
  <c r="G37" i="1"/>
  <c r="E37" i="1"/>
  <c r="J39" i="27"/>
  <c r="H39" i="27"/>
  <c r="E39" i="27"/>
  <c r="B147" i="28"/>
  <c r="F147" i="28" s="1"/>
  <c r="A147" i="28"/>
  <c r="E132" i="28"/>
  <c r="F133" i="28"/>
  <c r="F128" i="28"/>
  <c r="D37" i="32" s="1"/>
  <c r="C59" i="52"/>
  <c r="A60" i="52"/>
  <c r="B59" i="52"/>
  <c r="D59" i="52"/>
  <c r="B137" i="28"/>
  <c r="D137" i="28"/>
  <c r="C60" i="52" l="1"/>
  <c r="B60" i="52"/>
  <c r="D60" i="52"/>
  <c r="A61" i="52"/>
  <c r="F132" i="28"/>
  <c r="D38" i="32" s="1"/>
  <c r="N37" i="1"/>
  <c r="M37" i="1"/>
  <c r="R37" i="1"/>
  <c r="I37" i="1"/>
  <c r="J37" i="1"/>
  <c r="L37" i="1"/>
  <c r="S37" i="1"/>
  <c r="B141" i="28"/>
  <c r="D141" i="28"/>
  <c r="E40" i="27"/>
  <c r="E136" i="28"/>
  <c r="F137" i="28"/>
  <c r="A149" i="28"/>
  <c r="D147" i="28"/>
  <c r="C38" i="1"/>
  <c r="F38" i="1"/>
  <c r="G38" i="1"/>
  <c r="E38" i="1"/>
  <c r="B38" i="1"/>
  <c r="Q38" i="1" s="1"/>
  <c r="H38" i="1"/>
  <c r="H41" i="32"/>
  <c r="G42" i="32"/>
  <c r="H40" i="27"/>
  <c r="D40" i="27"/>
  <c r="D38" i="20"/>
  <c r="C39" i="20"/>
  <c r="U41" i="32"/>
  <c r="U42" i="32" s="1"/>
  <c r="T41" i="32"/>
  <c r="L41" i="32"/>
  <c r="L42" i="32" s="1"/>
  <c r="K41" i="32"/>
  <c r="J41" i="32"/>
  <c r="J42" i="32" s="1"/>
  <c r="N41" i="32"/>
  <c r="S41" i="32"/>
  <c r="A145" i="28"/>
  <c r="D143" i="28"/>
  <c r="G40" i="27"/>
  <c r="D60" i="6"/>
  <c r="C60" i="6"/>
  <c r="B60" i="6"/>
  <c r="A61" i="6"/>
  <c r="J41" i="27"/>
  <c r="A42" i="27"/>
  <c r="D41" i="27"/>
  <c r="B41" i="27"/>
  <c r="I40" i="27"/>
  <c r="F40" i="27"/>
  <c r="M38" i="1" l="1"/>
  <c r="S38" i="1"/>
  <c r="S39" i="1" s="1"/>
  <c r="L38" i="1"/>
  <c r="R38" i="1"/>
  <c r="I38" i="1"/>
  <c r="J38" i="1"/>
  <c r="J39" i="1" s="1"/>
  <c r="N38" i="1"/>
  <c r="N39" i="1" s="1"/>
  <c r="F136" i="28"/>
  <c r="D39" i="32" s="1"/>
  <c r="C61" i="52"/>
  <c r="D61" i="52"/>
  <c r="B61" i="52"/>
  <c r="A62" i="52"/>
  <c r="A43" i="27"/>
  <c r="H42" i="27"/>
  <c r="G42" i="27"/>
  <c r="B42" i="27"/>
  <c r="I42" i="27"/>
  <c r="J42" i="27"/>
  <c r="E42" i="27"/>
  <c r="F42" i="27"/>
  <c r="D42" i="27"/>
  <c r="F41" i="27"/>
  <c r="B145" i="28"/>
  <c r="D145" i="28"/>
  <c r="C40" i="20"/>
  <c r="D39" i="20"/>
  <c r="I41" i="27"/>
  <c r="G41" i="27"/>
  <c r="B149" i="28"/>
  <c r="D149" i="28"/>
  <c r="E41" i="27"/>
  <c r="H41" i="27"/>
  <c r="D61" i="6"/>
  <c r="A62" i="6"/>
  <c r="B61" i="6"/>
  <c r="C61" i="6"/>
  <c r="E140" i="28"/>
  <c r="F141" i="28"/>
  <c r="C62" i="52" l="1"/>
  <c r="A63" i="52"/>
  <c r="D62" i="52"/>
  <c r="B62" i="52"/>
  <c r="E144" i="28"/>
  <c r="F145" i="28"/>
  <c r="D62" i="6"/>
  <c r="C62" i="6"/>
  <c r="B62" i="6"/>
  <c r="A63" i="6"/>
  <c r="F140" i="28"/>
  <c r="D40" i="32" s="1"/>
  <c r="E148" i="28"/>
  <c r="F149" i="28"/>
  <c r="C41" i="20"/>
  <c r="D40" i="20"/>
  <c r="F43" i="27"/>
  <c r="J43" i="27"/>
  <c r="J10" i="27" s="1"/>
  <c r="B43" i="27"/>
  <c r="E43" i="27"/>
  <c r="I43" i="27"/>
  <c r="D43" i="27"/>
  <c r="G43" i="27"/>
  <c r="H43" i="27"/>
  <c r="F148" i="28" l="1"/>
  <c r="C42" i="20"/>
  <c r="D41" i="20"/>
  <c r="D63" i="6"/>
  <c r="A64" i="6"/>
  <c r="C63" i="6"/>
  <c r="B63" i="6"/>
  <c r="C63" i="52"/>
  <c r="A64" i="52"/>
  <c r="B63" i="52"/>
  <c r="D63" i="52"/>
  <c r="F144" i="28"/>
  <c r="D41" i="32" s="1"/>
  <c r="D42" i="32" s="1"/>
  <c r="E9" i="32" s="1"/>
  <c r="M14" i="32" l="1"/>
  <c r="M35" i="32"/>
  <c r="M28" i="32"/>
  <c r="M20" i="32"/>
  <c r="M41" i="32"/>
  <c r="M32" i="32"/>
  <c r="M22" i="32"/>
  <c r="M40" i="32"/>
  <c r="M30" i="32"/>
  <c r="M18" i="32"/>
  <c r="M24" i="32"/>
  <c r="M37" i="32"/>
  <c r="M26" i="32"/>
  <c r="M16" i="32"/>
  <c r="M33" i="32"/>
  <c r="D42" i="20"/>
  <c r="C43" i="20"/>
  <c r="C64" i="52"/>
  <c r="B64" i="52"/>
  <c r="D64" i="52"/>
  <c r="A65" i="52"/>
  <c r="D64" i="6"/>
  <c r="C64" i="6"/>
  <c r="B64" i="6"/>
  <c r="A65" i="6"/>
  <c r="D65" i="6" l="1"/>
  <c r="A66" i="6"/>
  <c r="B65" i="6"/>
  <c r="C65" i="6"/>
  <c r="C65" i="52"/>
  <c r="B65" i="52"/>
  <c r="D65" i="52"/>
  <c r="A66" i="52"/>
  <c r="C44" i="20"/>
  <c r="D43" i="20"/>
  <c r="C66" i="52" l="1"/>
  <c r="B66" i="52"/>
  <c r="D66" i="52"/>
  <c r="F32" i="52" s="1"/>
  <c r="D66" i="6"/>
  <c r="F32" i="6" s="1"/>
  <c r="C66" i="6"/>
  <c r="B66" i="6"/>
  <c r="C45" i="20"/>
  <c r="D44" i="20"/>
  <c r="C16" i="6" l="1"/>
  <c r="C17" i="6" s="1"/>
  <c r="F37" i="6"/>
  <c r="F37" i="52"/>
  <c r="C16" i="52"/>
  <c r="C17" i="52" s="1"/>
  <c r="C46" i="20"/>
  <c r="D45" i="20"/>
  <c r="D46" i="20" l="1"/>
  <c r="C47" i="20"/>
  <c r="C48" i="20" l="1"/>
  <c r="D47" i="20"/>
  <c r="C49" i="20" l="1"/>
  <c r="D48" i="20"/>
  <c r="C50" i="20" l="1"/>
  <c r="D49" i="20"/>
  <c r="D50" i="20" l="1"/>
  <c r="C51" i="20"/>
  <c r="C52" i="20" l="1"/>
  <c r="D51" i="20"/>
  <c r="C53" i="20" l="1"/>
  <c r="D52" i="20"/>
  <c r="C54" i="20" l="1"/>
  <c r="D53" i="20"/>
  <c r="D54" i="20" l="1"/>
  <c r="C55" i="20"/>
  <c r="C56" i="20" l="1"/>
  <c r="D55" i="20"/>
  <c r="C57" i="20" l="1"/>
  <c r="D56" i="20"/>
  <c r="C58" i="20" l="1"/>
  <c r="D57" i="20"/>
  <c r="D58" i="20" l="1"/>
  <c r="C59" i="20"/>
  <c r="D59" i="20" l="1"/>
  <c r="C60" i="20"/>
  <c r="D60" i="20" l="1"/>
  <c r="C61" i="20"/>
  <c r="C62" i="20" l="1"/>
  <c r="D61" i="20"/>
  <c r="C63" i="20" l="1"/>
  <c r="D62" i="20"/>
  <c r="D63" i="20" l="1"/>
  <c r="C64" i="20"/>
  <c r="D64" i="20" l="1"/>
  <c r="C65" i="20"/>
  <c r="C66" i="20" l="1"/>
  <c r="D65" i="20"/>
  <c r="C67" i="20" l="1"/>
  <c r="D66" i="20"/>
  <c r="D67" i="20" l="1"/>
  <c r="C68" i="20"/>
  <c r="D68" i="20" l="1"/>
  <c r="C69" i="20"/>
  <c r="C70" i="20" l="1"/>
  <c r="D69" i="20"/>
  <c r="C71" i="20" l="1"/>
  <c r="D70" i="20"/>
  <c r="D71" i="20" l="1"/>
  <c r="C72" i="20"/>
  <c r="D72" i="20" l="1"/>
  <c r="C73" i="20"/>
  <c r="C74" i="20" l="1"/>
  <c r="D73" i="20"/>
  <c r="C75" i="20" l="1"/>
  <c r="D74" i="20"/>
  <c r="D75" i="20" l="1"/>
  <c r="C76" i="20"/>
  <c r="D76" i="20" l="1"/>
  <c r="C77" i="20"/>
  <c r="C78" i="20" l="1"/>
  <c r="D77" i="20"/>
  <c r="C79" i="20" l="1"/>
  <c r="D78" i="20"/>
  <c r="D79" i="20" l="1"/>
  <c r="C80" i="20"/>
  <c r="D80" i="20" l="1"/>
  <c r="C81" i="20"/>
  <c r="C82" i="20" l="1"/>
  <c r="D81" i="20"/>
  <c r="C83" i="20" l="1"/>
  <c r="D82" i="20"/>
  <c r="D83" i="20" l="1"/>
  <c r="C84" i="20"/>
  <c r="D84" i="20" l="1"/>
  <c r="C85" i="20"/>
  <c r="C86" i="20" l="1"/>
  <c r="D85" i="20"/>
  <c r="C87" i="20" l="1"/>
  <c r="D86" i="20"/>
  <c r="D87" i="20" l="1"/>
  <c r="C88" i="20"/>
  <c r="C89" i="20" l="1"/>
  <c r="D88" i="20"/>
  <c r="C90" i="20" l="1"/>
  <c r="D89" i="20"/>
  <c r="C91" i="20" l="1"/>
  <c r="D90" i="20"/>
  <c r="D91" i="20" l="1"/>
  <c r="C92" i="20"/>
  <c r="C93" i="20" l="1"/>
  <c r="D92" i="20"/>
  <c r="C94" i="20" l="1"/>
  <c r="D93" i="20"/>
  <c r="C95" i="20" l="1"/>
  <c r="D94" i="20"/>
  <c r="C96" i="20" l="1"/>
  <c r="D95" i="20"/>
  <c r="C97" i="20" l="1"/>
  <c r="D96" i="20"/>
  <c r="C98" i="20" l="1"/>
  <c r="D97" i="20"/>
  <c r="C99" i="20" l="1"/>
  <c r="D98" i="20"/>
  <c r="C100" i="20" l="1"/>
  <c r="D99" i="20"/>
  <c r="C101" i="20" l="1"/>
  <c r="D100" i="20"/>
  <c r="C102" i="20" l="1"/>
  <c r="D101" i="20"/>
  <c r="C103" i="20" l="1"/>
  <c r="D102" i="20"/>
  <c r="C104" i="20" l="1"/>
  <c r="D103" i="20"/>
  <c r="C105" i="20" l="1"/>
  <c r="D104" i="20"/>
  <c r="C106" i="20" l="1"/>
  <c r="D105" i="20"/>
  <c r="C107" i="20" l="1"/>
  <c r="D106" i="20"/>
  <c r="C108" i="20" l="1"/>
  <c r="D107" i="20"/>
  <c r="C109" i="20" l="1"/>
  <c r="D108" i="20"/>
  <c r="C110" i="20" l="1"/>
  <c r="D109" i="20"/>
  <c r="C111" i="20" l="1"/>
  <c r="D110" i="20"/>
  <c r="C112" i="20" l="1"/>
  <c r="D111" i="20"/>
  <c r="C113" i="20" l="1"/>
  <c r="D112" i="20"/>
  <c r="C114" i="20" l="1"/>
  <c r="D113" i="20"/>
  <c r="C115" i="20" l="1"/>
  <c r="D114" i="20"/>
  <c r="C116" i="20" l="1"/>
  <c r="D115" i="20"/>
  <c r="C117" i="20" l="1"/>
  <c r="D116" i="20"/>
  <c r="C118" i="20" l="1"/>
  <c r="D117" i="20"/>
  <c r="C119" i="20" l="1"/>
  <c r="D118" i="20"/>
  <c r="C120" i="20" l="1"/>
  <c r="D119" i="20"/>
  <c r="C121" i="20" l="1"/>
  <c r="D120" i="20"/>
  <c r="C122" i="20" l="1"/>
  <c r="D121" i="20"/>
  <c r="C123" i="20" l="1"/>
  <c r="D122" i="20"/>
  <c r="C124" i="20" l="1"/>
  <c r="D123" i="20"/>
  <c r="C125" i="20" l="1"/>
  <c r="D124" i="20"/>
  <c r="C126" i="20" l="1"/>
  <c r="D125" i="20"/>
  <c r="C127" i="20" l="1"/>
  <c r="D126" i="20"/>
  <c r="C128" i="20" l="1"/>
  <c r="D127" i="20"/>
  <c r="C129" i="20" l="1"/>
  <c r="D128" i="20"/>
  <c r="C130" i="20" l="1"/>
  <c r="D129" i="20"/>
  <c r="C131" i="20" l="1"/>
  <c r="D130" i="20"/>
  <c r="C132" i="20" l="1"/>
  <c r="D131" i="20"/>
  <c r="C133" i="20" l="1"/>
  <c r="D132" i="20"/>
  <c r="C134" i="20" l="1"/>
  <c r="D133" i="20"/>
  <c r="C135" i="20" l="1"/>
  <c r="D134" i="20"/>
  <c r="C136" i="20" l="1"/>
  <c r="D135" i="20"/>
  <c r="C137" i="20" l="1"/>
  <c r="D136" i="20"/>
  <c r="C138" i="20" l="1"/>
  <c r="D137" i="20"/>
  <c r="C139" i="20" l="1"/>
  <c r="D138" i="20"/>
  <c r="C140" i="20" l="1"/>
  <c r="D139" i="20"/>
  <c r="C141" i="20" l="1"/>
  <c r="D140" i="20"/>
  <c r="C142" i="20" l="1"/>
  <c r="D141" i="20"/>
  <c r="C143" i="20" l="1"/>
  <c r="D142" i="20"/>
  <c r="C144" i="20" l="1"/>
  <c r="D143" i="20"/>
  <c r="C145" i="20" l="1"/>
  <c r="D144" i="20"/>
  <c r="C146" i="20" l="1"/>
  <c r="D145" i="20"/>
  <c r="C147" i="20" l="1"/>
  <c r="D146" i="20"/>
  <c r="C148" i="20" l="1"/>
  <c r="D147" i="20"/>
  <c r="C149" i="20" l="1"/>
  <c r="D148" i="20"/>
  <c r="C150" i="20" l="1"/>
  <c r="D149" i="20"/>
  <c r="C151" i="20" l="1"/>
  <c r="D150" i="20"/>
  <c r="C152" i="20" l="1"/>
  <c r="D151" i="20"/>
  <c r="C153" i="20" l="1"/>
  <c r="D152" i="20"/>
  <c r="C154" i="20" l="1"/>
  <c r="D153" i="20"/>
  <c r="C155" i="20" l="1"/>
  <c r="D154" i="20"/>
  <c r="C156" i="20" l="1"/>
  <c r="D155" i="20"/>
  <c r="C157" i="20" l="1"/>
  <c r="D156" i="20"/>
  <c r="C158" i="20" l="1"/>
  <c r="D157" i="20"/>
  <c r="C159" i="20" l="1"/>
  <c r="D158" i="20"/>
  <c r="C160" i="20" l="1"/>
  <c r="D159" i="20"/>
  <c r="C161" i="20" l="1"/>
  <c r="D160" i="20"/>
  <c r="C162" i="20" l="1"/>
  <c r="D161" i="20"/>
  <c r="C163" i="20" l="1"/>
  <c r="D162" i="20"/>
  <c r="C164" i="20" l="1"/>
  <c r="D163" i="20"/>
  <c r="C165" i="20" l="1"/>
  <c r="D164" i="20"/>
  <c r="C166" i="20" l="1"/>
  <c r="D165" i="20"/>
  <c r="C167" i="20" l="1"/>
  <c r="D166" i="20"/>
  <c r="C168" i="20" l="1"/>
  <c r="D167" i="20"/>
  <c r="C169" i="20" l="1"/>
  <c r="D168" i="20"/>
  <c r="C170" i="20" l="1"/>
  <c r="D169" i="20"/>
  <c r="C171" i="20" l="1"/>
  <c r="D170" i="20"/>
  <c r="C172" i="20" l="1"/>
  <c r="D171" i="20"/>
  <c r="C173" i="20" l="1"/>
  <c r="D172" i="20"/>
  <c r="C174" i="20" l="1"/>
  <c r="D173" i="20"/>
  <c r="C175" i="20" l="1"/>
  <c r="D174" i="20"/>
  <c r="C176" i="20" l="1"/>
  <c r="D175" i="20"/>
  <c r="C177" i="20" l="1"/>
  <c r="D176" i="20"/>
  <c r="C178" i="20" l="1"/>
  <c r="D177" i="20"/>
  <c r="C179" i="20" l="1"/>
  <c r="D178" i="20"/>
  <c r="C180" i="20" l="1"/>
  <c r="D179" i="20"/>
  <c r="C181" i="20" l="1"/>
  <c r="D180" i="20"/>
  <c r="C182" i="20" l="1"/>
  <c r="D181" i="20"/>
  <c r="C183" i="20" l="1"/>
  <c r="D182" i="20"/>
  <c r="C184" i="20" l="1"/>
  <c r="D183" i="20"/>
  <c r="C185" i="20" l="1"/>
  <c r="D184" i="20"/>
  <c r="C186" i="20" l="1"/>
  <c r="D185" i="20"/>
  <c r="C187" i="20" l="1"/>
  <c r="D186" i="20"/>
  <c r="D187" i="20" l="1"/>
  <c r="C188" i="20"/>
  <c r="C189" i="20" l="1"/>
  <c r="D188" i="20"/>
  <c r="D189" i="20" l="1"/>
  <c r="C190" i="20"/>
  <c r="C191" i="20" l="1"/>
  <c r="D190" i="20"/>
  <c r="D191" i="20" l="1"/>
  <c r="C192" i="20"/>
  <c r="C193" i="20" l="1"/>
  <c r="D192" i="20"/>
  <c r="C194" i="20" l="1"/>
  <c r="D193" i="20"/>
  <c r="C195" i="20" l="1"/>
  <c r="D194" i="20"/>
  <c r="D195" i="20" l="1"/>
  <c r="C196" i="20"/>
  <c r="C197" i="20" l="1"/>
  <c r="D196" i="20"/>
  <c r="D197" i="20" l="1"/>
  <c r="C198" i="20"/>
  <c r="C199" i="20" l="1"/>
  <c r="D198" i="20"/>
  <c r="D199" i="20" l="1"/>
  <c r="C200" i="20"/>
  <c r="C201" i="20" l="1"/>
  <c r="D200" i="20"/>
  <c r="C202" i="20" l="1"/>
  <c r="D201" i="20"/>
  <c r="C203" i="20" l="1"/>
  <c r="D202" i="20"/>
  <c r="D203" i="20" l="1"/>
  <c r="C204" i="20"/>
  <c r="C205" i="20" l="1"/>
  <c r="D204" i="20"/>
  <c r="D205" i="20" l="1"/>
  <c r="C206" i="20"/>
  <c r="C207" i="20" l="1"/>
  <c r="D206" i="20"/>
  <c r="D207" i="20" l="1"/>
  <c r="C208" i="20"/>
  <c r="C209" i="20" l="1"/>
  <c r="D208" i="20"/>
  <c r="C210" i="20" l="1"/>
  <c r="D209" i="20"/>
  <c r="C211" i="20" l="1"/>
  <c r="D210" i="20"/>
  <c r="D211" i="20" l="1"/>
  <c r="C212" i="20"/>
  <c r="C213" i="20" l="1"/>
  <c r="D212" i="20"/>
  <c r="D213" i="20" l="1"/>
  <c r="C214" i="20"/>
  <c r="C215" i="20" l="1"/>
  <c r="D214" i="20"/>
  <c r="D215" i="20" l="1"/>
  <c r="C216" i="20"/>
  <c r="C217" i="20" l="1"/>
  <c r="D216" i="20"/>
  <c r="C218" i="20" l="1"/>
  <c r="D217" i="20"/>
  <c r="C219" i="20" l="1"/>
  <c r="D218" i="20"/>
  <c r="D219" i="20" l="1"/>
  <c r="C220" i="20"/>
  <c r="C221" i="20" l="1"/>
  <c r="D220" i="20"/>
  <c r="D221" i="20" l="1"/>
  <c r="C222" i="20"/>
  <c r="C223" i="20" l="1"/>
  <c r="D222" i="20"/>
  <c r="D223" i="20" l="1"/>
  <c r="C224" i="20"/>
  <c r="C225" i="20" l="1"/>
  <c r="D224" i="20"/>
  <c r="C226" i="20" l="1"/>
  <c r="D225" i="20"/>
  <c r="C227" i="20" l="1"/>
  <c r="D226" i="20"/>
  <c r="D227" i="20" l="1"/>
  <c r="C228" i="20"/>
  <c r="C229" i="20" l="1"/>
  <c r="D228" i="20"/>
  <c r="D229" i="20" l="1"/>
  <c r="C230" i="20"/>
  <c r="C231" i="20" l="1"/>
  <c r="D230" i="20"/>
  <c r="C232" i="20" l="1"/>
  <c r="D231" i="20"/>
  <c r="D232" i="20" l="1"/>
  <c r="C233" i="20"/>
  <c r="C234" i="20" l="1"/>
  <c r="D233" i="20"/>
  <c r="D234" i="20" l="1"/>
  <c r="C235" i="20"/>
  <c r="C236" i="20" l="1"/>
  <c r="D235" i="20"/>
  <c r="D236" i="20" l="1"/>
  <c r="C237" i="20"/>
  <c r="C238" i="20" l="1"/>
  <c r="D237" i="20"/>
  <c r="D238" i="20" l="1"/>
  <c r="C239" i="20"/>
  <c r="C240" i="20" l="1"/>
  <c r="D239" i="20"/>
  <c r="D240" i="20" l="1"/>
  <c r="C241" i="20"/>
  <c r="C242" i="20" l="1"/>
  <c r="D241" i="20"/>
  <c r="D242" i="20" l="1"/>
  <c r="C243" i="20"/>
  <c r="C244" i="20" l="1"/>
  <c r="D243" i="20"/>
  <c r="D244" i="20" l="1"/>
  <c r="C245" i="20"/>
  <c r="C246" i="20" l="1"/>
  <c r="D245" i="20"/>
  <c r="D246" i="20" l="1"/>
  <c r="C247" i="20"/>
  <c r="C248" i="20" l="1"/>
  <c r="D247" i="20"/>
  <c r="D248" i="20" l="1"/>
  <c r="C249" i="20"/>
  <c r="C250" i="20" l="1"/>
  <c r="D249" i="20"/>
  <c r="D250" i="20" l="1"/>
  <c r="C251" i="20"/>
  <c r="C252" i="20" l="1"/>
  <c r="D251" i="20"/>
  <c r="D252" i="20" l="1"/>
  <c r="C253" i="20"/>
  <c r="C254" i="20" l="1"/>
  <c r="D253" i="20"/>
  <c r="D254" i="20" l="1"/>
  <c r="C255" i="20"/>
  <c r="C256" i="20" l="1"/>
  <c r="D255" i="20"/>
  <c r="D256" i="20" l="1"/>
  <c r="C257" i="20"/>
  <c r="C258" i="20" l="1"/>
  <c r="D257" i="20"/>
  <c r="D258" i="20" l="1"/>
  <c r="C259" i="20"/>
  <c r="C260" i="20" l="1"/>
  <c r="D259" i="20"/>
  <c r="D260" i="20" l="1"/>
  <c r="C261" i="20"/>
  <c r="C262" i="20" l="1"/>
  <c r="D261" i="20"/>
  <c r="D262" i="20" l="1"/>
  <c r="C263" i="20"/>
  <c r="C264" i="20" l="1"/>
  <c r="D263" i="20"/>
  <c r="D264" i="20" l="1"/>
  <c r="C265" i="20"/>
  <c r="C266" i="20" l="1"/>
  <c r="D265" i="20"/>
  <c r="D266" i="20" l="1"/>
  <c r="C267" i="20"/>
  <c r="C268" i="20" l="1"/>
  <c r="D267" i="20"/>
  <c r="D268" i="20" l="1"/>
  <c r="C269" i="20"/>
  <c r="C270" i="20" l="1"/>
  <c r="D269" i="20"/>
  <c r="D270" i="20" l="1"/>
  <c r="C271" i="20"/>
  <c r="C272" i="20" l="1"/>
  <c r="D271" i="20"/>
  <c r="D272" i="20" l="1"/>
  <c r="C273" i="20"/>
  <c r="C274" i="20" l="1"/>
  <c r="D273" i="20"/>
  <c r="D274" i="20" l="1"/>
  <c r="C275" i="20"/>
  <c r="C276" i="20" l="1"/>
  <c r="D275" i="20"/>
  <c r="D276" i="20" l="1"/>
  <c r="C277" i="20"/>
  <c r="C278" i="20" l="1"/>
  <c r="D277" i="20"/>
  <c r="D278" i="20" l="1"/>
  <c r="C279" i="20"/>
  <c r="C280" i="20" l="1"/>
  <c r="D279" i="20"/>
  <c r="D280" i="20" l="1"/>
  <c r="C281" i="20"/>
  <c r="C282" i="20" l="1"/>
  <c r="D281" i="20"/>
  <c r="D282" i="20" l="1"/>
  <c r="C283" i="20"/>
  <c r="C284" i="20" l="1"/>
  <c r="D283" i="20"/>
  <c r="D284" i="20" l="1"/>
  <c r="C285" i="20"/>
  <c r="C286" i="20" l="1"/>
  <c r="D285" i="20"/>
  <c r="D286" i="20" l="1"/>
  <c r="C287" i="20"/>
  <c r="C288" i="20" l="1"/>
  <c r="D287" i="20"/>
  <c r="D288" i="20" l="1"/>
  <c r="C289" i="20"/>
  <c r="C290" i="20" l="1"/>
  <c r="D289" i="20"/>
  <c r="D290" i="20" l="1"/>
  <c r="C291" i="20"/>
  <c r="C292" i="20" l="1"/>
  <c r="D291" i="20"/>
  <c r="D292" i="20" l="1"/>
  <c r="C293" i="20"/>
  <c r="C294" i="20" l="1"/>
  <c r="D293" i="20"/>
  <c r="D294" i="20" l="1"/>
  <c r="C295" i="20"/>
  <c r="C296" i="20" l="1"/>
  <c r="D295" i="20"/>
  <c r="D296" i="20" l="1"/>
  <c r="C297" i="20"/>
  <c r="C298" i="20" l="1"/>
  <c r="D297" i="20"/>
  <c r="D298" i="20" l="1"/>
  <c r="C299" i="20"/>
  <c r="C300" i="20" l="1"/>
  <c r="D299" i="20"/>
  <c r="D300" i="20" l="1"/>
  <c r="C301" i="20"/>
  <c r="C302" i="20" l="1"/>
  <c r="D301" i="20"/>
  <c r="D302" i="20" l="1"/>
  <c r="C303" i="20"/>
  <c r="C304" i="20" l="1"/>
  <c r="D303" i="20"/>
  <c r="D304" i="20" l="1"/>
  <c r="C305" i="20"/>
  <c r="C306" i="20" l="1"/>
  <c r="D305" i="20"/>
  <c r="D306" i="20" l="1"/>
  <c r="C307" i="20"/>
  <c r="C308" i="20" l="1"/>
  <c r="D307" i="20"/>
  <c r="D308" i="20" l="1"/>
  <c r="C309" i="20"/>
  <c r="C310" i="20" l="1"/>
  <c r="D309" i="20"/>
  <c r="D310" i="20" l="1"/>
  <c r="C311" i="20"/>
  <c r="C312" i="20" l="1"/>
  <c r="D311" i="20"/>
  <c r="D312" i="20" l="1"/>
  <c r="C313" i="20"/>
  <c r="C314" i="20" l="1"/>
  <c r="D313" i="20"/>
  <c r="D314" i="20" l="1"/>
  <c r="C315" i="20"/>
  <c r="C316" i="20" l="1"/>
  <c r="D315" i="20"/>
  <c r="D316" i="20" l="1"/>
  <c r="C317" i="20"/>
  <c r="C318" i="20" l="1"/>
  <c r="D317" i="20"/>
  <c r="D318" i="20" l="1"/>
  <c r="C319" i="20"/>
  <c r="C320" i="20" l="1"/>
  <c r="D319" i="20"/>
  <c r="D320" i="20" l="1"/>
  <c r="C321" i="20"/>
  <c r="C322" i="20" l="1"/>
  <c r="D321" i="20"/>
  <c r="D322" i="20" l="1"/>
  <c r="C323" i="20"/>
  <c r="C324" i="20" l="1"/>
  <c r="D323" i="20"/>
  <c r="D324" i="20" l="1"/>
  <c r="C325" i="20"/>
  <c r="C326" i="20" l="1"/>
  <c r="D325" i="20"/>
  <c r="D326" i="20" l="1"/>
  <c r="C327" i="20"/>
  <c r="C328" i="20" l="1"/>
  <c r="D327" i="20"/>
  <c r="D328" i="20" l="1"/>
  <c r="C329" i="20"/>
  <c r="C330" i="20" l="1"/>
  <c r="D329" i="20"/>
  <c r="D330" i="20" l="1"/>
  <c r="C331" i="20"/>
  <c r="C332" i="20" l="1"/>
  <c r="D331" i="20"/>
  <c r="D332" i="20" l="1"/>
  <c r="C333" i="20"/>
  <c r="C334" i="20" l="1"/>
  <c r="D333" i="20"/>
  <c r="D334" i="20" l="1"/>
  <c r="C335" i="20"/>
  <c r="C336" i="20" l="1"/>
  <c r="D335" i="20"/>
  <c r="D336" i="20" l="1"/>
  <c r="C337" i="20"/>
  <c r="C338" i="20" l="1"/>
  <c r="D337" i="20"/>
  <c r="D338" i="20" l="1"/>
  <c r="C339" i="20"/>
  <c r="C340" i="20" l="1"/>
  <c r="D339" i="20"/>
  <c r="D340" i="20" l="1"/>
  <c r="C341" i="20"/>
  <c r="C342" i="20" l="1"/>
  <c r="D341" i="20"/>
  <c r="D342" i="20" l="1"/>
  <c r="C343" i="20"/>
  <c r="C344" i="20" l="1"/>
  <c r="D343" i="20"/>
  <c r="D344" i="20" l="1"/>
  <c r="C345" i="20"/>
  <c r="C346" i="20" l="1"/>
  <c r="D345" i="20"/>
  <c r="D346" i="20" l="1"/>
  <c r="C347" i="20"/>
  <c r="C348" i="20" l="1"/>
  <c r="D347" i="20"/>
  <c r="D348" i="20" l="1"/>
  <c r="C349" i="20"/>
  <c r="C350" i="20" l="1"/>
  <c r="D349" i="20"/>
  <c r="D350" i="20" l="1"/>
  <c r="C351" i="20"/>
  <c r="C352" i="20" l="1"/>
  <c r="D351" i="20"/>
  <c r="D352" i="20" l="1"/>
  <c r="C353" i="20"/>
  <c r="C354" i="20" l="1"/>
  <c r="D353" i="20"/>
  <c r="D354" i="20" l="1"/>
  <c r="C355" i="20"/>
  <c r="C356" i="20" l="1"/>
  <c r="D355" i="20"/>
  <c r="D356" i="20" l="1"/>
  <c r="C357" i="20"/>
  <c r="C358" i="20" l="1"/>
  <c r="D357" i="20"/>
  <c r="D358" i="20" l="1"/>
  <c r="C359" i="20"/>
  <c r="C360" i="20" l="1"/>
  <c r="D359" i="20"/>
  <c r="D360" i="20" l="1"/>
  <c r="C361" i="20"/>
  <c r="C362" i="20" l="1"/>
  <c r="D361" i="20"/>
  <c r="D362" i="20" l="1"/>
  <c r="C363" i="20"/>
  <c r="C364" i="20" l="1"/>
  <c r="D363" i="20"/>
  <c r="D364" i="20" l="1"/>
  <c r="C365" i="20"/>
  <c r="C366" i="20" l="1"/>
  <c r="D365" i="20"/>
  <c r="D366" i="20" l="1"/>
  <c r="C367" i="20"/>
  <c r="C368" i="20" l="1"/>
  <c r="D367" i="20"/>
  <c r="D368" i="20" l="1"/>
  <c r="C369" i="20"/>
  <c r="C370" i="20" l="1"/>
  <c r="D369" i="20"/>
  <c r="D370" i="20" l="1"/>
  <c r="C371" i="20"/>
  <c r="C372" i="20" l="1"/>
  <c r="C373" i="20" s="1"/>
  <c r="C374" i="20" s="1"/>
  <c r="C375" i="20" s="1"/>
  <c r="C376" i="20" s="1"/>
  <c r="C377" i="20" s="1"/>
  <c r="C378" i="20" s="1"/>
  <c r="C379" i="20" s="1"/>
  <c r="C380" i="20" s="1"/>
  <c r="C381" i="20" s="1"/>
  <c r="C382" i="20" s="1"/>
  <c r="C383" i="20" s="1"/>
  <c r="C384" i="20" s="1"/>
  <c r="C385" i="20" s="1"/>
  <c r="C386" i="20" s="1"/>
  <c r="C387" i="20" s="1"/>
  <c r="C388" i="20" s="1"/>
  <c r="C389" i="20" s="1"/>
  <c r="C390" i="20" s="1"/>
  <c r="C391" i="20" s="1"/>
  <c r="C392" i="20" s="1"/>
  <c r="C393" i="20" s="1"/>
  <c r="C394" i="20" s="1"/>
  <c r="C395" i="20" s="1"/>
  <c r="C396" i="20" s="1"/>
  <c r="C397" i="20" s="1"/>
  <c r="C398" i="20" s="1"/>
  <c r="C399" i="20" s="1"/>
  <c r="C400" i="20" s="1"/>
  <c r="C401" i="20" s="1"/>
  <c r="C402" i="20" s="1"/>
  <c r="C403" i="20" s="1"/>
  <c r="C404" i="20" s="1"/>
  <c r="C405" i="20" s="1"/>
  <c r="C406" i="20" s="1"/>
  <c r="C407" i="20" s="1"/>
  <c r="C408" i="20" s="1"/>
  <c r="C409" i="20" s="1"/>
  <c r="C410" i="20" s="1"/>
  <c r="C411" i="20" s="1"/>
  <c r="C412" i="20" s="1"/>
  <c r="C413" i="20" s="1"/>
  <c r="D371" i="20"/>
</calcChain>
</file>

<file path=xl/comments1.xml><?xml version="1.0" encoding="utf-8"?>
<comments xmlns="http://schemas.openxmlformats.org/spreadsheetml/2006/main">
  <authors>
    <author>ap</author>
  </authors>
  <commentList>
    <comment ref="C8" authorId="0">
      <text>
        <r>
          <rPr>
            <b/>
            <sz val="8"/>
            <color indexed="81"/>
            <rFont val="Tahoma"/>
            <family val="2"/>
          </rPr>
          <t xml:space="preserve">Bis zu 1 Jahr act/360.
Über einem Jahr 30/360
</t>
        </r>
      </text>
    </comment>
    <comment ref="F8" authorId="0">
      <text>
        <r>
          <rPr>
            <sz val="10"/>
            <color indexed="81"/>
            <rFont val="Tahoma"/>
            <family val="2"/>
          </rPr>
          <t xml:space="preserve">Hier wird der eigentliche Forwardzinssatz errechnet, mit dem die exakten Zinstage/360 multipliziert werden müssen um den Floating leg zu erhalten
d ges = d vorher * 1/(1+iForward* tdif/360)
1 + iForwar t diff/360   =d vorher / d ges
i Forwar = (  d vorher/ d ges - 1) *360 / t diff
</t>
        </r>
      </text>
    </comment>
    <comment ref="D11" authorId="0">
      <text>
        <r>
          <rPr>
            <sz val="10"/>
            <color indexed="81"/>
            <rFont val="Tahoma"/>
            <family val="2"/>
          </rPr>
          <t>Lineare Interpolation</t>
        </r>
      </text>
    </comment>
    <comment ref="D13" authorId="0">
      <text>
        <r>
          <rPr>
            <sz val="10"/>
            <color indexed="81"/>
            <rFont val="Tahoma"/>
            <family val="2"/>
          </rPr>
          <t>Lineare Interpolation</t>
        </r>
      </text>
    </comment>
    <comment ref="D15" authorId="0">
      <text>
        <r>
          <rPr>
            <sz val="10"/>
            <color indexed="81"/>
            <rFont val="Tahoma"/>
            <family val="2"/>
          </rPr>
          <t>Lineare Interpolation</t>
        </r>
      </text>
    </comment>
    <comment ref="D17" authorId="0">
      <text>
        <r>
          <rPr>
            <sz val="10"/>
            <color indexed="81"/>
            <rFont val="Tahoma"/>
            <family val="2"/>
          </rPr>
          <t>Lineare Interpolation</t>
        </r>
      </text>
    </comment>
    <comment ref="D19" authorId="0">
      <text>
        <r>
          <rPr>
            <sz val="10"/>
            <color indexed="81"/>
            <rFont val="Tahoma"/>
            <family val="2"/>
          </rPr>
          <t>Lineare Interpolation</t>
        </r>
      </text>
    </comment>
    <comment ref="D21" authorId="0">
      <text>
        <r>
          <rPr>
            <sz val="10"/>
            <color indexed="81"/>
            <rFont val="Tahoma"/>
            <family val="2"/>
          </rPr>
          <t>Lineare Interpolation</t>
        </r>
      </text>
    </comment>
    <comment ref="D23" authorId="0">
      <text>
        <r>
          <rPr>
            <sz val="10"/>
            <color indexed="81"/>
            <rFont val="Tahoma"/>
            <family val="2"/>
          </rPr>
          <t>Lineare Interpolation</t>
        </r>
      </text>
    </comment>
    <comment ref="D25" authorId="0">
      <text>
        <r>
          <rPr>
            <sz val="10"/>
            <color indexed="81"/>
            <rFont val="Tahoma"/>
            <family val="2"/>
          </rPr>
          <t>Lineare Interpolation</t>
        </r>
      </text>
    </comment>
    <comment ref="D27" authorId="0">
      <text>
        <r>
          <rPr>
            <sz val="10"/>
            <color indexed="81"/>
            <rFont val="Tahoma"/>
            <family val="2"/>
          </rPr>
          <t>Lineare Interpolation</t>
        </r>
      </text>
    </comment>
  </commentList>
</comments>
</file>

<file path=xl/comments2.xml><?xml version="1.0" encoding="utf-8"?>
<comments xmlns="http://schemas.openxmlformats.org/spreadsheetml/2006/main">
  <authors>
    <author>ap</author>
  </authors>
  <commentList>
    <comment ref="C13" authorId="0">
      <text>
        <r>
          <rPr>
            <sz val="10"/>
            <color indexed="81"/>
            <rFont val="Tahoma"/>
            <family val="2"/>
          </rPr>
          <t>Finanzierungskosten für sofortigen Kauf der Anleihe
= Repo-Satz * Zeit_bis_Laufzeitende_Future * (Cleanpreis + Stückzinsen)
wobei Zeit_bis_Laufzeitende_Future = DCF</t>
        </r>
      </text>
    </comment>
    <comment ref="C16" authorId="0">
      <text>
        <r>
          <rPr>
            <b/>
            <sz val="10"/>
            <color indexed="81"/>
            <rFont val="Tahoma"/>
            <family val="2"/>
          </rPr>
          <t>Konversionsfaktor der Anleihe  
auch Umrechnungsfaktor, Preisfaktor (conversion factor) genannt</t>
        </r>
        <r>
          <rPr>
            <sz val="10"/>
            <color indexed="81"/>
            <rFont val="Tahoma"/>
            <family val="2"/>
          </rPr>
          <t xml:space="preserve">
Der Terminkurs auf die spezielle Anleihe muss noch umgerechnet werden auf die beim Bund-Future zugrunde liegende fiktive Anleihe mit 6% Rendite.
Preisfaktor = (Barwert der fiktiven Anleihe - Stückzinsen) / Nennwert.</t>
        </r>
      </text>
    </comment>
  </commentList>
</comments>
</file>

<file path=xl/comments3.xml><?xml version="1.0" encoding="utf-8"?>
<comments xmlns="http://schemas.openxmlformats.org/spreadsheetml/2006/main">
  <authors>
    <author>ap</author>
  </authors>
  <commentList>
    <comment ref="J12" authorId="0">
      <text>
        <r>
          <rPr>
            <b/>
            <sz val="8"/>
            <color indexed="81"/>
            <rFont val="Tahoma"/>
            <family val="2"/>
          </rPr>
          <t>Optionspreisformel nach Balck-Scholes</t>
        </r>
      </text>
    </comment>
    <comment ref="E13" authorId="0">
      <text>
        <r>
          <rPr>
            <sz val="10"/>
            <color indexed="81"/>
            <rFont val="Tahoma"/>
            <family val="2"/>
          </rPr>
          <t xml:space="preserve">Optionsgepflogenheit Gesamttage/365
</t>
        </r>
      </text>
    </comment>
  </commentList>
</comments>
</file>

<file path=xl/comments4.xml><?xml version="1.0" encoding="utf-8"?>
<comments xmlns="http://schemas.openxmlformats.org/spreadsheetml/2006/main">
  <authors>
    <author>ap</author>
  </authors>
  <commentList>
    <comment ref="C5" authorId="0">
      <text>
        <r>
          <rPr>
            <b/>
            <sz val="10"/>
            <color indexed="81"/>
            <rFont val="Tahoma"/>
            <family val="2"/>
          </rPr>
          <t xml:space="preserve">Ausnahmen: 
bis  1 Jahr: Spot-Rate (Euribor)
Über 1 Jahr Swap-Daten einer Bank
</t>
        </r>
      </text>
    </comment>
    <comment ref="D5" authorId="0">
      <text>
        <r>
          <rPr>
            <sz val="10"/>
            <color indexed="81"/>
            <rFont val="Tahoma"/>
            <family val="2"/>
          </rPr>
          <t>t = act/360  für bis zu einem Jahr
t nach 30/360 Methode für t größer als 1 Jahr</t>
        </r>
      </text>
    </comment>
    <comment ref="F5" authorId="0">
      <text>
        <r>
          <rPr>
            <sz val="10"/>
            <color indexed="81"/>
            <rFont val="Tahoma"/>
            <family val="2"/>
          </rPr>
          <t>Berechnung nach Deutsch (2001), S. 469f
(Werte für laufzeiten über 15 Jahre können nicht berechnet werden, da erst die swap-Rate für jahr 16, 17 ...
benötigt werden. Berechnung erfolgt in Arbeitsblatt Eingabedaten.)
d(0,t3)*(1+K3* Tau3) = 1 - Swapsatz3 ( Tau1*d(0,t1)+ tau2 d(0,t2)
1   =  Swapsatz3 Tau1* d(0,t1) + Swapsatz3 *Tau2 d(0,t2) + Swapsatz 3 *Tau3* *d(0,t3)+  d(0,t3)</t>
        </r>
      </text>
    </comment>
    <comment ref="G5" authorId="0">
      <text>
        <r>
          <rPr>
            <sz val="10"/>
            <color indexed="81"/>
            <rFont val="Tahoma"/>
            <family val="2"/>
          </rPr>
          <t xml:space="preserve">Achtung: Zinssatz abhängig von der angewandten Zinsmethode
Hier wird bei Laufzeit über 1 Jahr exp. Verzinsung verwendet. Genauer:
t über 1 Jahr:
d = 1/(1+i)^t
t= d^(-1/t)-1
t bis zu 1 Jahr:
d = 1/ (1+t*i)
i =( 1/d -1  ) / t
</t>
        </r>
      </text>
    </comment>
    <comment ref="L6" authorId="0">
      <text>
        <r>
          <rPr>
            <sz val="10"/>
            <color indexed="81"/>
            <rFont val="Tahoma"/>
            <family val="2"/>
          </rPr>
          <t xml:space="preserve">Berechnung erfolgt aufgrund t = act/360
d  = 1/(1+t*i)
i =(1/d -1)/t
t = t_Eende - t_Anfang
</t>
        </r>
      </text>
    </comment>
    <comment ref="C16" authorId="0">
      <text>
        <r>
          <rPr>
            <sz val="10"/>
            <color indexed="81"/>
            <rFont val="Tahoma"/>
            <family val="2"/>
          </rPr>
          <t xml:space="preserve">Wert aus Datenquelle mit Sicherheit falsch, deshalb hier Wert geschätzt.
</t>
        </r>
      </text>
    </comment>
    <comment ref="C20" authorId="0">
      <text>
        <r>
          <rPr>
            <b/>
            <sz val="8"/>
            <color indexed="81"/>
            <rFont val="Tahoma"/>
            <family val="2"/>
          </rPr>
          <t xml:space="preserve">Wenn Daten nicht vorliegen: interpolation
</t>
        </r>
      </text>
    </comment>
    <comment ref="C22" authorId="0">
      <text>
        <r>
          <rPr>
            <b/>
            <sz val="8"/>
            <color indexed="81"/>
            <rFont val="Tahoma"/>
            <family val="2"/>
          </rPr>
          <t xml:space="preserve">Wenn Daten nicht vorliegen: interpolation
</t>
        </r>
      </text>
    </comment>
    <comment ref="C23" authorId="0">
      <text>
        <r>
          <rPr>
            <b/>
            <sz val="8"/>
            <color indexed="81"/>
            <rFont val="Tahoma"/>
            <family val="2"/>
          </rPr>
          <t xml:space="preserve">Wenn Daten nicht vorliegen: interpolation
</t>
        </r>
      </text>
    </comment>
    <comment ref="F30" authorId="0">
      <text>
        <r>
          <rPr>
            <b/>
            <sz val="12"/>
            <color indexed="81"/>
            <rFont val="Tahoma"/>
            <family val="2"/>
          </rPr>
          <t>Berechnung mit exponentieller Interpolation</t>
        </r>
        <r>
          <rPr>
            <b/>
            <sz val="8"/>
            <color indexed="81"/>
            <rFont val="Tahoma"/>
            <family val="2"/>
          </rPr>
          <t xml:space="preserve">
</t>
        </r>
        <r>
          <rPr>
            <sz val="10"/>
            <color indexed="81"/>
            <rFont val="Tahoma"/>
            <family val="2"/>
          </rPr>
          <t xml:space="preserve">Gegeben: Zeit und Diskontfaktor
                                          (t1, d1)
 Ausgangszeit t0                                  t
                                                                     (t2, d2)
Gesucht ist der Diskontfaktor d(t) zur Zeit t:
Annahme   d1 = exp(-r1*(t1-t0))  =&gt;   r1= -ln(d1)/ (t1-t0)     (Gleichung 1)
                 d2 = exp(-r2*(t2-t0)) =&gt;   r2 = -ln(d2) /(t2-t0)    (Gleichung 2)
Ansatz  
 r = Lambda * r1 + ( 1- Lambda)* r2  mit </t>
        </r>
        <r>
          <rPr>
            <b/>
            <sz val="10"/>
            <color indexed="81"/>
            <rFont val="Tahoma"/>
            <family val="2"/>
          </rPr>
          <t>Lambda = (t2 - t) / (t2 - t1)</t>
        </r>
        <r>
          <rPr>
            <sz val="10"/>
            <color indexed="81"/>
            <rFont val="Tahoma"/>
            <family val="2"/>
          </rPr>
          <t xml:space="preserve">
Gesucht d(t)  = exp[- r*(t-t0)]. r von oben eingesetzt ergibt:
d(t) =  exp[-{Lambda*r1+(1-Lambda)*r2}*(t-t0)]
mit Gleichung 1 und Gleichung 2:
</t>
        </r>
        <r>
          <rPr>
            <b/>
            <sz val="10"/>
            <color indexed="81"/>
            <rFont val="Tahoma"/>
            <family val="2"/>
          </rPr>
          <t xml:space="preserve">d(t) = exp[ { Lambda*ln(d1) / (t1 - t0)   + (1-Lambda)*ln(d2) / (t2 - t0)  }*(t - to) ]
 </t>
        </r>
        <r>
          <rPr>
            <b/>
            <sz val="8"/>
            <color indexed="81"/>
            <rFont val="Tahoma"/>
            <family val="2"/>
          </rPr>
          <t xml:space="preserve">
</t>
        </r>
      </text>
    </comment>
    <comment ref="H30" authorId="0">
      <text>
        <r>
          <rPr>
            <sz val="10"/>
            <color indexed="81"/>
            <rFont val="Tahoma"/>
            <family val="2"/>
          </rPr>
          <t xml:space="preserve">Berechnung erfolgt aufgrund t = act/360
d  = 1/(1+t*i)
i =(1/d -1)/t
t = t_Eende - t_Anfang
</t>
        </r>
      </text>
    </comment>
  </commentList>
</comments>
</file>

<file path=xl/comments5.xml><?xml version="1.0" encoding="utf-8"?>
<comments xmlns="http://schemas.openxmlformats.org/spreadsheetml/2006/main">
  <authors>
    <author>ap</author>
  </authors>
  <commentList>
    <comment ref="A1" authorId="0">
      <text>
        <r>
          <rPr>
            <sz val="10"/>
            <color indexed="81"/>
            <rFont val="Tahoma"/>
            <family val="2"/>
          </rPr>
          <t>Long payer Swap (Plain-Vanilla-Zinsswap):
Die Bank zahlt Festzins und erhält variablen Zins</t>
        </r>
      </text>
    </comment>
    <comment ref="E8" authorId="0">
      <text>
        <r>
          <rPr>
            <sz val="10"/>
            <color indexed="81"/>
            <rFont val="Tahoma"/>
            <family val="2"/>
          </rPr>
          <t>Nur volle und halbe Jahre, d.h. Wert mal 2 muss ganze Zahl sein.</t>
        </r>
      </text>
    </comment>
    <comment ref="E9" authorId="0">
      <text>
        <r>
          <rPr>
            <sz val="10"/>
            <color indexed="81"/>
            <rFont val="Tahoma"/>
            <family val="2"/>
          </rPr>
          <t>Der faire Festzinssatz ist derjenige Zinssatz, bei dem der Barwert des festverzinslichen Wertpapier gleich dem Barwert des Floaters ist.
(da die 1. Peridode keine volle Zinsperiode sein kann, muss die faire Swap Rate i_fair nicht die Par Rate sein. 
Somit gilt:
Barwert_Floater/Nennwert = i-Fair * (d1* t1 + d2*t2 + ... +  dn*tn) + 1 dn
(Barwert_Floater/Nennwer- dn)/ (d1*t1 +  ... + dn*tn)  = i_fair
t j = Zahlungszeitraum für j-te Zahlung</t>
        </r>
      </text>
    </comment>
    <comment ref="O11" authorId="0">
      <text>
        <r>
          <rPr>
            <sz val="10"/>
            <color indexed="81"/>
            <rFont val="Tahoma"/>
            <family val="2"/>
          </rPr>
          <t xml:space="preserve">Dieser  Zahlungsstrum ist für VaR Berechnung zu verwenden.
</t>
        </r>
      </text>
    </comment>
    <comment ref="C12" authorId="0">
      <text>
        <r>
          <rPr>
            <sz val="10"/>
            <color indexed="81"/>
            <rFont val="Tahoma"/>
            <family val="2"/>
          </rPr>
          <t>Wird benötigt zur Berechnung der Festzinszahlung</t>
        </r>
      </text>
    </comment>
    <comment ref="D12" authorId="0">
      <text>
        <r>
          <rPr>
            <sz val="10"/>
            <color indexed="81"/>
            <rFont val="Tahoma"/>
            <family val="2"/>
          </rPr>
          <t xml:space="preserve">Schätzung über anderes Arbeitsblatt
</t>
        </r>
      </text>
    </comment>
    <comment ref="E12" authorId="0">
      <text>
        <r>
          <rPr>
            <b/>
            <sz val="8"/>
            <color indexed="81"/>
            <rFont val="Tahoma"/>
            <family val="2"/>
          </rPr>
          <t xml:space="preserve">(1+t_ges*i_ges) = 1+t_vorher*i_vorher) * (1+i Forward*t_zwischen)
Es wird die Zeit t_zwischen, verwendet aus der 3. Spalte der Tabelle errechnet wird.
d_ges  =  d_vor * d zwischen
d zwischen = 1 / ( 1+ i_Forward*t_ zwischen)
Also
d ges = d vor * (1+i_Forward* t_zwischen)
i Forward = (d vor  /d ges   -1) / t_ zwischen
t_zwischen wird auf Basis act/360 berechnet
</t>
        </r>
      </text>
    </comment>
    <comment ref="H12" authorId="0">
      <text>
        <r>
          <rPr>
            <b/>
            <sz val="10"/>
            <color indexed="81"/>
            <rFont val="Tahoma"/>
            <family val="2"/>
          </rPr>
          <t>Diese Spalte dient nur zur Berechnung des fairen Festzinssatzes</t>
        </r>
      </text>
    </comment>
  </commentList>
</comments>
</file>

<file path=xl/comments6.xml><?xml version="1.0" encoding="utf-8"?>
<comments xmlns="http://schemas.openxmlformats.org/spreadsheetml/2006/main">
  <authors>
    <author>ap</author>
  </authors>
  <commentList>
    <comment ref="C13" authorId="0">
      <text>
        <r>
          <rPr>
            <sz val="10"/>
            <color indexed="81"/>
            <rFont val="Tahoma"/>
            <family val="2"/>
          </rPr>
          <t>Finanzierungskosten für sofortigen Kauf der Anleihe
= Repo-Satz * Zeit_bis_Laufzeitende_Future * (Cleanpreis + Stückzinsen)
wobei Zeit_bis_Laufzeitende_Future = DCF</t>
        </r>
      </text>
    </comment>
    <comment ref="C16" authorId="0">
      <text>
        <r>
          <rPr>
            <b/>
            <sz val="10"/>
            <color indexed="81"/>
            <rFont val="Tahoma"/>
            <family val="2"/>
          </rPr>
          <t>Konversionsfaktor der Anleihe  
auch Umrechnungsfaktor, Preisfaktor (conversion factor) genannt</t>
        </r>
        <r>
          <rPr>
            <sz val="10"/>
            <color indexed="81"/>
            <rFont val="Tahoma"/>
            <family val="2"/>
          </rPr>
          <t xml:space="preserve">
Der Terminkurs auf die spezielle Anleihe muss noch umgerechnet werden auf die beim Bund-Future zugrunde liegende fiktive Anleihe mit 6% Rendite.
Preisfaktor = (Barwert der fiktiven Anleihe - Stückzinsen) / Nennwert.</t>
        </r>
      </text>
    </comment>
  </commentList>
</comments>
</file>

<file path=xl/sharedStrings.xml><?xml version="1.0" encoding="utf-8"?>
<sst xmlns="http://schemas.openxmlformats.org/spreadsheetml/2006/main" count="1049" uniqueCount="586">
  <si>
    <t>Bewertung einer Floating Rate Note</t>
  </si>
  <si>
    <t>Nennwert</t>
  </si>
  <si>
    <t>(letzter) festges. Zinssatz</t>
  </si>
  <si>
    <t>Zinszahlungen pro Jahr</t>
  </si>
  <si>
    <t>aktueller Zinssatz</t>
  </si>
  <si>
    <t>für Zeit bis zur</t>
  </si>
  <si>
    <t>nächsten Zinszahlung</t>
  </si>
  <si>
    <t xml:space="preserve">Zeit bis zur nächsten </t>
  </si>
  <si>
    <t>Zinszahlung</t>
  </si>
  <si>
    <t>(in Jahren)</t>
  </si>
  <si>
    <t>Barwert</t>
  </si>
  <si>
    <t>Zinssatz</t>
  </si>
  <si>
    <t>c)</t>
  </si>
  <si>
    <t>Laufzeit</t>
  </si>
  <si>
    <t>(nur ganze Jahre)</t>
  </si>
  <si>
    <t>Spread</t>
  </si>
  <si>
    <t>Barwert Floater</t>
  </si>
  <si>
    <t>Nominalbetrag</t>
  </si>
  <si>
    <t>mal 6-M.-Euribor plus</t>
  </si>
  <si>
    <t>Laufzeit in Jahren</t>
  </si>
  <si>
    <t>Heutiges Datum</t>
  </si>
  <si>
    <t>b) Alternative Barwertberechnung</t>
  </si>
  <si>
    <t>a) Berechnung über zu erwartende Zahlungen</t>
  </si>
  <si>
    <t>StructuredNote =</t>
  </si>
  <si>
    <t>Floater +</t>
  </si>
  <si>
    <t>Anleihe +</t>
  </si>
  <si>
    <t>Zerobonds</t>
  </si>
  <si>
    <t>Nr.</t>
  </si>
  <si>
    <t>Datum</t>
  </si>
  <si>
    <t>Zeit t</t>
  </si>
  <si>
    <t>Diskon-tierungs-faktor  d(0,t)</t>
  </si>
  <si>
    <t>Zahlungs-strom fest</t>
  </si>
  <si>
    <t xml:space="preserve">Zahlung variabler Anteil </t>
  </si>
  <si>
    <t>Zahlung insgesamt</t>
  </si>
  <si>
    <t xml:space="preserve">Barwert </t>
  </si>
  <si>
    <t>faire Swap-Rate</t>
  </si>
  <si>
    <t>Zeit</t>
  </si>
  <si>
    <t>Anleihe und Zerobonds Cash-Flow</t>
  </si>
  <si>
    <t>Floater  Cash-Flow</t>
  </si>
  <si>
    <t>Gesamt    Cash-Flow</t>
  </si>
  <si>
    <t>Barwert gesamt</t>
  </si>
  <si>
    <t>Summe:</t>
  </si>
  <si>
    <t>Summe  der Barwerte</t>
  </si>
  <si>
    <t>Future</t>
  </si>
  <si>
    <t>Preis</t>
  </si>
  <si>
    <t>05.06.</t>
  </si>
  <si>
    <t>(Future-Preis)</t>
  </si>
  <si>
    <t>13.12.</t>
  </si>
  <si>
    <t>Gewinn:</t>
  </si>
  <si>
    <t>Berechnung fairer Terminkurse</t>
  </si>
  <si>
    <t>Aktueller Kurs</t>
  </si>
  <si>
    <t>USD/EUR</t>
  </si>
  <si>
    <t>Spotrate EUR</t>
  </si>
  <si>
    <t>Spotrate USD</t>
  </si>
  <si>
    <t>fairer Terminkurs (exp. Verzinsung)</t>
  </si>
  <si>
    <t>fairer Terminkurs (lin. Verzinsung)</t>
  </si>
  <si>
    <t>Wert eines Forwards</t>
  </si>
  <si>
    <t xml:space="preserve">Aktienkurs </t>
  </si>
  <si>
    <t>Forwardpreis</t>
  </si>
  <si>
    <t>Jahre</t>
  </si>
  <si>
    <t>risikol. Zins</t>
  </si>
  <si>
    <t>Dividende</t>
  </si>
  <si>
    <t>gezahlt in</t>
  </si>
  <si>
    <t>Jahren</t>
  </si>
  <si>
    <t>Wert des F.</t>
  </si>
  <si>
    <t>lin. Verzinsung</t>
  </si>
  <si>
    <t>exp. Verzinsung</t>
  </si>
  <si>
    <t>für alle Laufzeiten</t>
  </si>
  <si>
    <t>Euro in</t>
  </si>
  <si>
    <t>Valuta</t>
  </si>
  <si>
    <t>Future fällig am</t>
  </si>
  <si>
    <t>(Valuta)</t>
  </si>
  <si>
    <t>Anleihe</t>
  </si>
  <si>
    <t>Anleihekurs</t>
  </si>
  <si>
    <t>Nominalzinssatz</t>
  </si>
  <si>
    <t>letzter Zinslaufzeitbeginn</t>
  </si>
  <si>
    <t>nächste Zinszahlung</t>
  </si>
  <si>
    <t>Fälligkeit</t>
  </si>
  <si>
    <t>Finanzierungskosten</t>
  </si>
  <si>
    <t>Ertrag aus Stückzinsen</t>
  </si>
  <si>
    <t>Fair Value Bund-Future</t>
  </si>
  <si>
    <t>Valutatag</t>
  </si>
  <si>
    <t>Kurs</t>
  </si>
  <si>
    <t>Zinslaufbeginn</t>
  </si>
  <si>
    <t>Kurswert</t>
  </si>
  <si>
    <t>Stückzinsen</t>
  </si>
  <si>
    <t>(actual/actual)</t>
  </si>
  <si>
    <t>Rückzahlungskurs</t>
  </si>
  <si>
    <t>Endpreis</t>
  </si>
  <si>
    <t>Zahlungsstrom</t>
  </si>
  <si>
    <t>Zahlung bei Anleihe</t>
  </si>
  <si>
    <t>Barwert insg.</t>
  </si>
  <si>
    <t>pro Quartal</t>
  </si>
  <si>
    <t>Quartale</t>
  </si>
  <si>
    <t>Optionspreis</t>
  </si>
  <si>
    <t>Basispreis</t>
  </si>
  <si>
    <t>Aktienkurs</t>
  </si>
  <si>
    <t>Für Zeichnung:</t>
  </si>
  <si>
    <t>kleinster Aktienkurs</t>
  </si>
  <si>
    <t>größter Aktienkurs</t>
  </si>
  <si>
    <t>Call</t>
  </si>
  <si>
    <t>Aktie</t>
  </si>
  <si>
    <t>Ergebnisse:</t>
  </si>
  <si>
    <t>Gewinn bei</t>
  </si>
  <si>
    <t>obigem Aktienkurs</t>
  </si>
  <si>
    <t>Break-Even-Punkt</t>
  </si>
  <si>
    <t>Call-Option</t>
  </si>
  <si>
    <t>Kurs der Option</t>
  </si>
  <si>
    <t>Kurs der Aktie</t>
  </si>
  <si>
    <t>Optionsverhältnis</t>
  </si>
  <si>
    <t>Innerer Wert</t>
  </si>
  <si>
    <t>Innerer Wert relativ</t>
  </si>
  <si>
    <t>Zeitwert</t>
  </si>
  <si>
    <t>Aufgeld</t>
  </si>
  <si>
    <t>Hebel</t>
  </si>
  <si>
    <t>Aktienoption</t>
  </si>
  <si>
    <t>Aktienkurs:</t>
  </si>
  <si>
    <t>Basispreis:</t>
  </si>
  <si>
    <t>Zinssatz:</t>
  </si>
  <si>
    <t>Volatilität (Schwankung):</t>
  </si>
  <si>
    <t>Laufzeit in Jahren:</t>
  </si>
  <si>
    <t>Fairer Preis eines Calls</t>
  </si>
  <si>
    <t>Fairer Preis eines Puts</t>
  </si>
  <si>
    <t xml:space="preserve">Berechnung eines fairen Optionspreises bei zwei möglichen </t>
  </si>
  <si>
    <t>zukünftigen Aktienkursen</t>
  </si>
  <si>
    <t>Aktueller Aktienkurs</t>
  </si>
  <si>
    <t>Möglicher zukünftiger Kurs</t>
  </si>
  <si>
    <t>oder</t>
  </si>
  <si>
    <t>Dies ist eine Veränderung um</t>
  </si>
  <si>
    <t>.</t>
  </si>
  <si>
    <t>Risikoloser Zinssatz</t>
  </si>
  <si>
    <t>bezogen auf die Laufzeit der Option.</t>
  </si>
  <si>
    <t>Basispreis der Option</t>
  </si>
  <si>
    <t>Preis der Call-Option am Laufzeitende</t>
  </si>
  <si>
    <t>Fairer Preis der Call-Option</t>
  </si>
  <si>
    <t>bzw.</t>
  </si>
  <si>
    <t>Fairer Preis der Put-Option</t>
  </si>
  <si>
    <t>wenn der zukünftige Aktienkurs bei</t>
  </si>
  <si>
    <t>(europäische Put-Option)</t>
  </si>
  <si>
    <t>liegt.</t>
  </si>
  <si>
    <t>mit theor.Wahrscheinlichkeit:</t>
  </si>
  <si>
    <t>ergibt einen</t>
  </si>
  <si>
    <t>also genau wie der faire Preis.</t>
  </si>
  <si>
    <t>mit Wahrscheinlichkeit:</t>
  </si>
  <si>
    <t>ergibt einen falschen</t>
  </si>
  <si>
    <t>FRA</t>
  </si>
  <si>
    <t>Valuta bis Zinsl.beginn</t>
  </si>
  <si>
    <t>Valuta bis Zinsl.ende</t>
  </si>
  <si>
    <t>Zinslaufende</t>
  </si>
  <si>
    <t>FRASatz</t>
  </si>
  <si>
    <t>Basis für Zinstage</t>
  </si>
  <si>
    <t>fairer FRASatz</t>
  </si>
  <si>
    <t>Zinstage Absicherung</t>
  </si>
  <si>
    <t>Zinstage Vorlauf</t>
  </si>
  <si>
    <t>Einsatz</t>
  </si>
  <si>
    <t>Ertrag</t>
  </si>
  <si>
    <t>Kredit bei FRASatz</t>
  </si>
  <si>
    <t>Summe</t>
  </si>
  <si>
    <t>Cap</t>
  </si>
  <si>
    <t>Strike</t>
  </si>
  <si>
    <t>Cap-Prämie</t>
  </si>
  <si>
    <t>Anleihezins</t>
  </si>
  <si>
    <t xml:space="preserve"> +  6-Monats-Euribor</t>
  </si>
  <si>
    <t>6-Monats</t>
  </si>
  <si>
    <t>Euribor</t>
  </si>
  <si>
    <t>Cap-Vereinbarung</t>
  </si>
  <si>
    <t>greift</t>
  </si>
  <si>
    <t>Anleihezinssatz</t>
  </si>
  <si>
    <t>Gesamtkosten</t>
  </si>
  <si>
    <t>REPO</t>
  </si>
  <si>
    <t>Nennwert:</t>
  </si>
  <si>
    <t>Nominalzins</t>
  </si>
  <si>
    <t>letzte Zinszahlung</t>
  </si>
  <si>
    <t>REPO-Satz</t>
  </si>
  <si>
    <t>(act/act)</t>
  </si>
  <si>
    <t>Tage</t>
  </si>
  <si>
    <t>Verkaufspreis</t>
  </si>
  <si>
    <t>REPO-Zinsen</t>
  </si>
  <si>
    <t>(act/360)</t>
  </si>
  <si>
    <t>Rückkaufswert</t>
  </si>
  <si>
    <t>Bewertung eines Long-payer-Swaps</t>
  </si>
  <si>
    <t>Festzinssatz</t>
  </si>
  <si>
    <t>Ein fairer Festzinssatz wäre</t>
  </si>
  <si>
    <t>Swap = Floater - Anleihe</t>
  </si>
  <si>
    <t>1-Jahres-Forward-Zinssatz</t>
  </si>
  <si>
    <t>Zahlung Festzins (fixed)</t>
  </si>
  <si>
    <t xml:space="preserve">Barwert (fixed) </t>
  </si>
  <si>
    <t>Barwert   (floating)</t>
  </si>
  <si>
    <t>Ausgleichs-zahlung</t>
  </si>
  <si>
    <t>Barwert (Swap)</t>
  </si>
  <si>
    <t>Anleihe Cash-Flow</t>
  </si>
  <si>
    <t>Floater Cash-Flow</t>
  </si>
  <si>
    <t>Datum (Valuta)</t>
  </si>
  <si>
    <t>Änderung der Swaprates um</t>
  </si>
  <si>
    <t>Festzinssatz (jährlich, 30/360)</t>
  </si>
  <si>
    <t>gegen 6-Monats-Euribor</t>
  </si>
  <si>
    <t>Letztes Fixing (Floating)</t>
  </si>
  <si>
    <t>Erste Zinszahlung Swap</t>
  </si>
  <si>
    <t>dann Laufzeit in Jahren</t>
  </si>
  <si>
    <t xml:space="preserve">Fairer Festzinssatz </t>
  </si>
  <si>
    <t xml:space="preserve">Swap = Floater - Anleihe   </t>
  </si>
  <si>
    <t>Zeit t 30/360</t>
  </si>
  <si>
    <t xml:space="preserve">6-Monats-Forward-Zins </t>
  </si>
  <si>
    <t>Zahlungs-strom Festzins (fixed leg)</t>
  </si>
  <si>
    <t xml:space="preserve">Barwert (fixed leg) </t>
  </si>
  <si>
    <t>Perioden-länge (fixed leg)</t>
  </si>
  <si>
    <t>Zahlung variabel  (floating leg)</t>
  </si>
  <si>
    <t>Barwert   (floating leg)</t>
  </si>
  <si>
    <t>fairer</t>
  </si>
  <si>
    <t>Tagesgenaue Berechnung der Diskontierungsfaktoren und der Spotrates aus Swap- bzw. Par-Rates</t>
  </si>
  <si>
    <t>Zunächst werden dazu die Diskontfaktoren d berechnet</t>
  </si>
  <si>
    <t>Handelstag</t>
  </si>
  <si>
    <t xml:space="preserve">Zur Simulation kann die Swap-Rate um </t>
  </si>
  <si>
    <t>geändert werden</t>
  </si>
  <si>
    <t>Jahr</t>
  </si>
  <si>
    <t>Datum Valuta</t>
  </si>
  <si>
    <t>t</t>
  </si>
  <si>
    <t>t_diff Swap</t>
  </si>
  <si>
    <t>d</t>
  </si>
  <si>
    <t>Spotrate</t>
  </si>
  <si>
    <t>Forward</t>
  </si>
  <si>
    <t>Forward-12-M.</t>
  </si>
  <si>
    <t>Diskontsatz</t>
  </si>
  <si>
    <t xml:space="preserve">Schätzungen der Diskontierungsfaktoren für </t>
  </si>
  <si>
    <t>und dann alle halbe Jahre</t>
  </si>
  <si>
    <t>Schätzung der Diskonfaktoren mittels exponentieller Interpolation</t>
  </si>
  <si>
    <t>Lambda</t>
  </si>
  <si>
    <t>Die Zinsdaten stammen aus Arbeitsblatt Zinssatz</t>
  </si>
  <si>
    <t>a)</t>
  </si>
  <si>
    <t>T</t>
  </si>
  <si>
    <t>S(t)</t>
  </si>
  <si>
    <t>i</t>
  </si>
  <si>
    <t>iVM</t>
  </si>
  <si>
    <t>stetige Verzinsung</t>
  </si>
  <si>
    <t>b)</t>
  </si>
  <si>
    <t>festgelegt.Terminpreis</t>
  </si>
  <si>
    <t>Lagerkosten</t>
  </si>
  <si>
    <t>Kauf 1 Unze</t>
  </si>
  <si>
    <t>Darlehen</t>
  </si>
  <si>
    <t>Verkauf eines Forwards</t>
  </si>
  <si>
    <t>Kosten</t>
  </si>
  <si>
    <t>Zeit T</t>
  </si>
  <si>
    <t>Ertrag aus Future</t>
  </si>
  <si>
    <t>Gewinn</t>
  </si>
  <si>
    <t>Exaktes Beispiel mit genauen Datumsangaben</t>
  </si>
  <si>
    <t>Aktuelles Datum</t>
  </si>
  <si>
    <t>aktueller Kurs</t>
  </si>
  <si>
    <t>Future fällig in</t>
  </si>
  <si>
    <t>Monaten</t>
  </si>
  <si>
    <t>(Eingabe bis max 12 Monate)</t>
  </si>
  <si>
    <t>Future-Laufzeitende</t>
  </si>
  <si>
    <t>USD-Zinsen</t>
  </si>
  <si>
    <t>EURO-Zinsen</t>
  </si>
  <si>
    <t>d USD</t>
  </si>
  <si>
    <t>d EURO</t>
  </si>
  <si>
    <t>Fairer Future Kurs</t>
  </si>
  <si>
    <t>t0</t>
  </si>
  <si>
    <t>fairer F(t0, T)</t>
  </si>
  <si>
    <t>festgelegter F(t0,T)</t>
  </si>
  <si>
    <t>Zeit t0</t>
  </si>
  <si>
    <t>Aufgabe 10.6 kann nicht mit Excel gelöst werden.</t>
  </si>
  <si>
    <t>Gewinn-Verlust-Diagramm beim Put</t>
  </si>
  <si>
    <t xml:space="preserve">Zahlungen am Ende </t>
  </si>
  <si>
    <t>Preis pro Einheit</t>
  </si>
  <si>
    <t>Kauf von</t>
  </si>
  <si>
    <t>Zahlung zu Beginn</t>
  </si>
  <si>
    <t>Aktienkurs S     &lt; 100</t>
  </si>
  <si>
    <t>Aktienkurs  S &gt;=100</t>
  </si>
  <si>
    <t>S</t>
  </si>
  <si>
    <t>Put</t>
  </si>
  <si>
    <t>Kredit</t>
  </si>
  <si>
    <t>Kreditzins</t>
  </si>
  <si>
    <t>Arbitrage:</t>
  </si>
  <si>
    <t>Optionspreisberechnung bei Aktien</t>
  </si>
  <si>
    <t>Valuta bis Zinslaufbeginn</t>
  </si>
  <si>
    <t>Valuta bis Zinslaufende</t>
  </si>
  <si>
    <t>Die Aufgabe kann ohne Excel einfach gelöst werden.</t>
  </si>
  <si>
    <t>Swap-Satz</t>
  </si>
  <si>
    <t>Spot-Rate</t>
  </si>
  <si>
    <t>Diskontierungsfaktor</t>
  </si>
  <si>
    <t>alter Festzins</t>
  </si>
  <si>
    <t>Restlaufzeit</t>
  </si>
  <si>
    <t>Wert des Swaps</t>
  </si>
  <si>
    <t>S(t0)</t>
  </si>
  <si>
    <t>gegen Hergabe Gold</t>
  </si>
  <si>
    <t>pro Jahr</t>
  </si>
  <si>
    <t>Prämie</t>
  </si>
  <si>
    <t>Anzahl</t>
  </si>
  <si>
    <t>Long Call</t>
  </si>
  <si>
    <t>Short Call</t>
  </si>
  <si>
    <t>Long Put</t>
  </si>
  <si>
    <t>Short-Put</t>
  </si>
  <si>
    <t>Basispreis A</t>
  </si>
  <si>
    <t>Basispreis B</t>
  </si>
  <si>
    <t>Basipreise müssen innerhalb der</t>
  </si>
  <si>
    <t>obigen Werte liegen</t>
  </si>
  <si>
    <t>Gesamt</t>
  </si>
  <si>
    <t>Gewinn-Verlust-Diagramm bei Kombinationen</t>
  </si>
  <si>
    <t>Laufzeitbeginn</t>
  </si>
  <si>
    <t>Strike oben</t>
  </si>
  <si>
    <t>Referenzzins</t>
  </si>
  <si>
    <t>6-M.-Euribor</t>
  </si>
  <si>
    <t>Log-normalverteilte Zinsen</t>
  </si>
  <si>
    <t>Stichtage pro Jahr</t>
  </si>
  <si>
    <t>Forwards-Vola</t>
  </si>
  <si>
    <t>gleich für alle Laufzeiten</t>
  </si>
  <si>
    <t>d1</t>
  </si>
  <si>
    <t>d2</t>
  </si>
  <si>
    <t>N(d1)</t>
  </si>
  <si>
    <t>N(d2)</t>
  </si>
  <si>
    <t>Barwert der Caplets</t>
  </si>
  <si>
    <t>Zeichnung von</t>
  </si>
  <si>
    <t>Call-Preis</t>
  </si>
  <si>
    <t>innerer Wert</t>
  </si>
  <si>
    <t>Terminkurs der Anleihe</t>
  </si>
  <si>
    <t>Delta Call</t>
  </si>
  <si>
    <t>Delta Put</t>
  </si>
  <si>
    <t>gleiche Daten wie oben</t>
  </si>
  <si>
    <t>Diese Aufgaben lassen sich nicht so gut</t>
  </si>
  <si>
    <t>Diese Aufgabe kann nicht mit Excel gelöst werden.</t>
  </si>
  <si>
    <t>aktuell</t>
  </si>
  <si>
    <t>Kaufkurs</t>
  </si>
  <si>
    <t>Anzahl der Kontrakte</t>
  </si>
  <si>
    <t>Additional Margin</t>
  </si>
  <si>
    <t>pro Kontrakt</t>
  </si>
  <si>
    <t>Margin-Berechnung beim Bund-Future</t>
  </si>
  <si>
    <t>Additional Margin Konto</t>
  </si>
  <si>
    <t>Tag 2</t>
  </si>
  <si>
    <t>Tag 3</t>
  </si>
  <si>
    <t>Tag 4 Verkauf</t>
  </si>
  <si>
    <t>Tag 1 Kauf</t>
  </si>
  <si>
    <t>Bemerkungen</t>
  </si>
  <si>
    <t xml:space="preserve">Wiener Prozess  mit und ohne Drift </t>
  </si>
  <si>
    <t>N</t>
  </si>
  <si>
    <t>Delta t</t>
  </si>
  <si>
    <t>Drift</t>
  </si>
  <si>
    <t>normalvert.</t>
  </si>
  <si>
    <t>Zufallszahl</t>
  </si>
  <si>
    <t>w(i) ohne Drift</t>
  </si>
  <si>
    <t>mit Drift</t>
  </si>
  <si>
    <t>und</t>
  </si>
  <si>
    <t>Erwartungswert der Aktienrendite</t>
  </si>
  <si>
    <t>Volatilität des Aktienkurses</t>
  </si>
  <si>
    <t>Varianz des Aktienkurses</t>
  </si>
  <si>
    <t>Mit Wahrscheinlichkeit</t>
  </si>
  <si>
    <t>Die Rendite nach einer Zeit von</t>
  </si>
  <si>
    <t xml:space="preserve">ist normalverteilt </t>
  </si>
  <si>
    <t>mit dem Erwartungswert</t>
  </si>
  <si>
    <t>und der Standardabweichung</t>
  </si>
  <si>
    <t xml:space="preserve">Für </t>
  </si>
  <si>
    <t>(US-Dollar pro Euro)</t>
  </si>
  <si>
    <t>EUR bei einem Terminkurs von</t>
  </si>
  <si>
    <t>USD erhalten Sie in einem Jahr</t>
  </si>
  <si>
    <r>
      <t>Spot-Rate i</t>
    </r>
    <r>
      <rPr>
        <vertAlign val="subscript"/>
        <sz val="10"/>
        <rFont val="Times New Roman"/>
        <family val="1"/>
      </rPr>
      <t>0,t</t>
    </r>
  </si>
  <si>
    <t>fairer Swapsatz</t>
  </si>
  <si>
    <t xml:space="preserve">Wert des    </t>
  </si>
  <si>
    <t>Forwards</t>
  </si>
  <si>
    <t>Wert</t>
  </si>
  <si>
    <t>des Futures</t>
  </si>
  <si>
    <t>Wert eines Forwards/Futures</t>
  </si>
  <si>
    <t>a) Forwardpreiss</t>
  </si>
  <si>
    <t>c) Forwardpreis</t>
  </si>
  <si>
    <t>b) Forwardpreiss</t>
  </si>
  <si>
    <t>PV_FW(t0,T)</t>
  </si>
  <si>
    <t>b)  PV_FW(t0,T)</t>
  </si>
  <si>
    <t>c)  PV_Future(t0,T)</t>
  </si>
  <si>
    <t>Konversionsfaktor</t>
  </si>
  <si>
    <t>Konversionsfaktor =</t>
  </si>
  <si>
    <t xml:space="preserve"> Barwert insg. - Stückzinsen</t>
  </si>
  <si>
    <t>=</t>
  </si>
  <si>
    <t>Reposatz (act/360)</t>
  </si>
  <si>
    <t>Euro-Bund-Future</t>
  </si>
  <si>
    <t>Barwert (exp.) bei 6%</t>
  </si>
  <si>
    <t>Nebenrechnung Anleihe (exakt gerechnet, gerundete Werte angegeben)</t>
  </si>
  <si>
    <t xml:space="preserve">Zeit in Jahren </t>
  </si>
  <si>
    <t>Bund 02 II</t>
  </si>
  <si>
    <t>Berücksichtigung von Feiertagen</t>
  </si>
  <si>
    <t xml:space="preserve">Datumsangaben ohne </t>
  </si>
  <si>
    <t>b) und c)</t>
  </si>
  <si>
    <t>Verkauf  1 Unze</t>
  </si>
  <si>
    <t>Geldanlage</t>
  </si>
  <si>
    <t>Kauf eines Forwards</t>
  </si>
  <si>
    <t>Kauf Unze Gold</t>
  </si>
  <si>
    <t>gegen Forward</t>
  </si>
  <si>
    <t>Strategie 1:</t>
  </si>
  <si>
    <t>Strategie 2:</t>
  </si>
  <si>
    <t>USD je EUR</t>
  </si>
  <si>
    <t>Einsparung Lagerk.</t>
  </si>
  <si>
    <t>Daten für  2. Teil</t>
  </si>
  <si>
    <t>Anleihe I</t>
  </si>
  <si>
    <t>Anleihe II</t>
  </si>
  <si>
    <t>Median</t>
  </si>
  <si>
    <t>Standardabweichung</t>
  </si>
  <si>
    <t>Erwartungswert des Aktienkurses</t>
  </si>
  <si>
    <t>aktueller Aktienkurs So</t>
  </si>
  <si>
    <t>liegt der Aktienkurs S(T) zwischen</t>
  </si>
  <si>
    <t>Aktueller EURIBOR</t>
  </si>
  <si>
    <t>Kredit bei EURIBOR</t>
  </si>
  <si>
    <t xml:space="preserve">    gegen EURIBOR plus</t>
  </si>
  <si>
    <t>Aktueller Festzins</t>
  </si>
  <si>
    <t>mit einer Tabellenkalkulation lösen.</t>
  </si>
  <si>
    <t>Aktienkurs S(T) ist lognormal-</t>
  </si>
  <si>
    <t>verteilt mit den Parametern</t>
  </si>
  <si>
    <r>
      <t>m</t>
    </r>
    <r>
      <rPr>
        <vertAlign val="subscript"/>
        <sz val="10"/>
        <rFont val="Symbol"/>
        <family val="1"/>
        <charset val="2"/>
      </rPr>
      <t>T</t>
    </r>
    <r>
      <rPr>
        <sz val="10"/>
        <rFont val="Symbol"/>
        <family val="1"/>
        <charset val="2"/>
      </rPr>
      <t xml:space="preserve">  =</t>
    </r>
  </si>
  <si>
    <t>(stetige Verzinsung)</t>
  </si>
  <si>
    <t>Barwert PV</t>
  </si>
  <si>
    <t>Prognose für EURIBOR</t>
  </si>
  <si>
    <t>Bewertung eines Long-Payer-Swaps</t>
  </si>
  <si>
    <t>Zahlung variabel (floating)</t>
  </si>
  <si>
    <r>
      <t>Spot-Rate i</t>
    </r>
    <r>
      <rPr>
        <b/>
        <vertAlign val="subscript"/>
        <sz val="10"/>
        <rFont val="Times New Roman"/>
        <family val="1"/>
      </rPr>
      <t>0,t</t>
    </r>
  </si>
  <si>
    <t>u:</t>
  </si>
  <si>
    <t>d:</t>
  </si>
  <si>
    <t>Basispreis für Option</t>
  </si>
  <si>
    <t>Zinssätze sind weiter unten</t>
  </si>
  <si>
    <t>einzugeben.</t>
  </si>
  <si>
    <t xml:space="preserve"> </t>
  </si>
  <si>
    <t>Zinssätze pro Periode</t>
  </si>
  <si>
    <t>t(i)</t>
  </si>
  <si>
    <t>t(0)</t>
  </si>
  <si>
    <t>t(1)</t>
  </si>
  <si>
    <t>t(2)</t>
  </si>
  <si>
    <t>t(3)</t>
  </si>
  <si>
    <t>t(4)</t>
  </si>
  <si>
    <t>t(5)</t>
  </si>
  <si>
    <t>r(i)</t>
  </si>
  <si>
    <t>1 + r(i)</t>
  </si>
  <si>
    <t>Omega</t>
  </si>
  <si>
    <t>Pfad  ---&gt;</t>
  </si>
  <si>
    <t>3 bis  12</t>
  </si>
  <si>
    <t>13 bis 20</t>
  </si>
  <si>
    <t>21 bis 30</t>
  </si>
  <si>
    <t>1,2,3</t>
  </si>
  <si>
    <t>4 bis 16</t>
  </si>
  <si>
    <t>17 bis 29</t>
  </si>
  <si>
    <t>30,31,32</t>
  </si>
  <si>
    <t>1,2,3,4</t>
  </si>
  <si>
    <t>5 bis 28</t>
  </si>
  <si>
    <t>29,30,31,32</t>
  </si>
  <si>
    <t>1 bis 16</t>
  </si>
  <si>
    <t>17 bis 32</t>
  </si>
  <si>
    <r>
      <t xml:space="preserve">E(X/A </t>
    </r>
    <r>
      <rPr>
        <sz val="8"/>
        <rFont val="Arial"/>
        <family val="2"/>
      </rPr>
      <t>t4</t>
    </r>
    <r>
      <rPr>
        <b/>
        <sz val="11"/>
        <rFont val="Arial"/>
        <family val="2"/>
      </rPr>
      <t>)</t>
    </r>
  </si>
  <si>
    <r>
      <t xml:space="preserve">E(X/A </t>
    </r>
    <r>
      <rPr>
        <sz val="8"/>
        <rFont val="Arial"/>
        <family val="2"/>
      </rPr>
      <t>t3</t>
    </r>
    <r>
      <rPr>
        <b/>
        <sz val="11"/>
        <rFont val="Arial"/>
        <family val="2"/>
      </rPr>
      <t>)</t>
    </r>
  </si>
  <si>
    <r>
      <t>E(X/A</t>
    </r>
    <r>
      <rPr>
        <sz val="8"/>
        <rFont val="Arial"/>
        <family val="2"/>
      </rPr>
      <t xml:space="preserve"> t2</t>
    </r>
    <r>
      <rPr>
        <b/>
        <sz val="11"/>
        <rFont val="Arial"/>
        <family val="2"/>
      </rPr>
      <t>)</t>
    </r>
  </si>
  <si>
    <r>
      <t xml:space="preserve">E(X/A </t>
    </r>
    <r>
      <rPr>
        <sz val="8"/>
        <rFont val="Arial"/>
        <family val="2"/>
      </rPr>
      <t>t1</t>
    </r>
    <r>
      <rPr>
        <b/>
        <sz val="11"/>
        <rFont val="Arial"/>
        <family val="2"/>
      </rPr>
      <t>)</t>
    </r>
  </si>
  <si>
    <t>p</t>
  </si>
  <si>
    <t>1-p</t>
  </si>
  <si>
    <t>u</t>
  </si>
  <si>
    <t>ip</t>
  </si>
  <si>
    <t>Devisenoption</t>
  </si>
  <si>
    <t>Laufzeitende</t>
  </si>
  <si>
    <t>EUR-Zinssatz</t>
  </si>
  <si>
    <t>USD-Zinssatz</t>
  </si>
  <si>
    <t>Volatilität</t>
  </si>
  <si>
    <t>USD/EUR Basiskurs</t>
  </si>
  <si>
    <t>Ratio</t>
  </si>
  <si>
    <t>aktueller USD-EUR-Kurs</t>
  </si>
  <si>
    <t>Payoff  Call</t>
  </si>
  <si>
    <t>Payoff Put</t>
  </si>
  <si>
    <t>PV Call</t>
  </si>
  <si>
    <t>N(-d1)</t>
  </si>
  <si>
    <t>N(-d2)</t>
  </si>
  <si>
    <t>PV Put</t>
  </si>
  <si>
    <t>S:</t>
  </si>
  <si>
    <t>Berechnung des Barwertes eines FRA</t>
  </si>
  <si>
    <t>Variation Margin Konto (Gutschrift)</t>
  </si>
  <si>
    <t>(falscher Preis, genauer: nicht abritragfreier Preis)</t>
  </si>
  <si>
    <t>Preis der Call-Option (berechnet mit Ws.):</t>
  </si>
  <si>
    <t>Bewertung eines Caplet</t>
  </si>
  <si>
    <t>Zinsobergrenze</t>
  </si>
  <si>
    <t>Zahlungszeitpunkt t1</t>
  </si>
  <si>
    <t>Forward-Zinssatz</t>
  </si>
  <si>
    <t>Fixing t0</t>
  </si>
  <si>
    <t xml:space="preserve">PV </t>
  </si>
  <si>
    <t>PV gerundet</t>
  </si>
  <si>
    <t>(d1 und d2 wurden auf 3 Nachkommastellen gerundet und dann</t>
  </si>
  <si>
    <t>die Normalverteilung verwendet.</t>
  </si>
  <si>
    <t>jährl. Verzinsung</t>
  </si>
  <si>
    <t>ergibt Zinssatz</t>
  </si>
  <si>
    <t>bei stetiger Verzinsung</t>
  </si>
  <si>
    <t>zur Zeit t = 0</t>
  </si>
  <si>
    <t>Laufzeit in J.</t>
  </si>
  <si>
    <t>Abschätzung</t>
  </si>
  <si>
    <t>Swap-Rate bzw. EURIBOR</t>
  </si>
  <si>
    <r>
      <t>t</t>
    </r>
    <r>
      <rPr>
        <b/>
        <vertAlign val="subscript"/>
        <sz val="10"/>
        <rFont val="Times New Roman"/>
        <family val="1"/>
      </rPr>
      <t>actual/365</t>
    </r>
  </si>
  <si>
    <r>
      <t>d</t>
    </r>
    <r>
      <rPr>
        <b/>
        <vertAlign val="subscript"/>
        <sz val="10"/>
        <rFont val="Times New Roman"/>
        <family val="1"/>
      </rPr>
      <t>1</t>
    </r>
  </si>
  <si>
    <r>
      <t>d</t>
    </r>
    <r>
      <rPr>
        <b/>
        <vertAlign val="subscript"/>
        <sz val="10"/>
        <rFont val="Times New Roman"/>
        <family val="1"/>
      </rPr>
      <t>2</t>
    </r>
  </si>
  <si>
    <r>
      <t>N(d</t>
    </r>
    <r>
      <rPr>
        <b/>
        <vertAlign val="subscript"/>
        <sz val="10"/>
        <rFont val="Times New Roman"/>
        <family val="1"/>
      </rPr>
      <t>1</t>
    </r>
    <r>
      <rPr>
        <b/>
        <sz val="10"/>
        <rFont val="Times New Roman"/>
        <family val="1"/>
      </rPr>
      <t>)</t>
    </r>
  </si>
  <si>
    <r>
      <t>N(d</t>
    </r>
    <r>
      <rPr>
        <b/>
        <vertAlign val="subscript"/>
        <sz val="10"/>
        <rFont val="Times New Roman"/>
        <family val="1"/>
      </rPr>
      <t>2</t>
    </r>
    <r>
      <rPr>
        <b/>
        <sz val="10"/>
        <rFont val="Times New Roman"/>
        <family val="1"/>
      </rPr>
      <t>)</t>
    </r>
  </si>
  <si>
    <t>iG</t>
  </si>
  <si>
    <t>Diskon-tierungs-faktor</t>
  </si>
  <si>
    <t>1-Jahres Forward-Zinssatz</t>
  </si>
  <si>
    <t>Forward-Volatilität</t>
  </si>
  <si>
    <t xml:space="preserve">Nennwert </t>
  </si>
  <si>
    <t>Bewertung eines Caps bei gegebenen Diskontierungsfaktoren (Zusatzbeispiel nicht im Buch)</t>
  </si>
  <si>
    <t>halbj. Forward-Zinssatz</t>
  </si>
  <si>
    <t>Bewertung eines Floor bei gegebenen Diskontierungsfaktoren (Zusatzbeispiel nicht im Buch)</t>
  </si>
  <si>
    <r>
      <t>d</t>
    </r>
    <r>
      <rPr>
        <vertAlign val="subscript"/>
        <sz val="12"/>
        <rFont val="Times New Roman"/>
        <family val="1"/>
      </rPr>
      <t>1</t>
    </r>
  </si>
  <si>
    <r>
      <t>N(d</t>
    </r>
    <r>
      <rPr>
        <vertAlign val="subscript"/>
        <sz val="12"/>
        <rFont val="Times New Roman"/>
        <family val="1"/>
      </rPr>
      <t>1</t>
    </r>
    <r>
      <rPr>
        <sz val="12"/>
        <rFont val="Times New Roman"/>
        <family val="1"/>
      </rPr>
      <t>)</t>
    </r>
  </si>
  <si>
    <r>
      <t>d</t>
    </r>
    <r>
      <rPr>
        <vertAlign val="subscript"/>
        <sz val="12"/>
        <rFont val="Times New Roman"/>
        <family val="1"/>
      </rPr>
      <t>2</t>
    </r>
  </si>
  <si>
    <r>
      <t>N(d</t>
    </r>
    <r>
      <rPr>
        <vertAlign val="subscript"/>
        <sz val="12"/>
        <rFont val="Times New Roman"/>
        <family val="1"/>
      </rPr>
      <t>2</t>
    </r>
    <r>
      <rPr>
        <sz val="12"/>
        <rFont val="Times New Roman"/>
        <family val="1"/>
      </rPr>
      <t>)</t>
    </r>
  </si>
  <si>
    <r>
      <t>PV</t>
    </r>
    <r>
      <rPr>
        <vertAlign val="subscript"/>
        <sz val="12"/>
        <rFont val="Times New Roman"/>
        <family val="1"/>
      </rPr>
      <t>Caplet</t>
    </r>
  </si>
  <si>
    <r>
      <t>N(-d</t>
    </r>
    <r>
      <rPr>
        <vertAlign val="subscript"/>
        <sz val="12"/>
        <rFont val="Times New Roman"/>
        <family val="1"/>
      </rPr>
      <t>1</t>
    </r>
    <r>
      <rPr>
        <sz val="12"/>
        <rFont val="Times New Roman"/>
        <family val="1"/>
      </rPr>
      <t>)</t>
    </r>
  </si>
  <si>
    <r>
      <t>N(-d</t>
    </r>
    <r>
      <rPr>
        <vertAlign val="subscript"/>
        <sz val="12"/>
        <rFont val="Times New Roman"/>
        <family val="1"/>
      </rPr>
      <t>2</t>
    </r>
    <r>
      <rPr>
        <sz val="12"/>
        <rFont val="Times New Roman"/>
        <family val="1"/>
      </rPr>
      <t>)</t>
    </r>
  </si>
  <si>
    <t>1-Jahres Forward-Diskon-tierungs-faktor</t>
  </si>
  <si>
    <t>Wert Floorlet</t>
  </si>
  <si>
    <r>
      <t>PV</t>
    </r>
    <r>
      <rPr>
        <vertAlign val="subscript"/>
        <sz val="12"/>
        <rFont val="Times New Roman"/>
        <family val="1"/>
      </rPr>
      <t>Floorlet</t>
    </r>
  </si>
  <si>
    <t>Name</t>
  </si>
  <si>
    <t>A</t>
  </si>
  <si>
    <t>B</t>
  </si>
  <si>
    <t>C</t>
  </si>
  <si>
    <t>D</t>
  </si>
  <si>
    <t>Aufgabe 10.4.8</t>
  </si>
  <si>
    <t>Art</t>
  </si>
  <si>
    <t>Basispreis X</t>
  </si>
  <si>
    <t>Lfz in Jahre</t>
  </si>
  <si>
    <t>einfacher Hebel  H</t>
  </si>
  <si>
    <t>n(d1)</t>
  </si>
  <si>
    <t>Delta</t>
  </si>
  <si>
    <t>Gamma</t>
  </si>
  <si>
    <t>Vega</t>
  </si>
  <si>
    <r>
      <t>d</t>
    </r>
    <r>
      <rPr>
        <sz val="8"/>
        <rFont val="Times New Roman"/>
        <family val="1"/>
      </rPr>
      <t>1</t>
    </r>
  </si>
  <si>
    <r>
      <t>N(d</t>
    </r>
    <r>
      <rPr>
        <sz val="8"/>
        <rFont val="Times New Roman"/>
        <family val="1"/>
      </rPr>
      <t>1</t>
    </r>
    <r>
      <rPr>
        <sz val="11"/>
        <rFont val="Times New Roman"/>
        <family val="1"/>
      </rPr>
      <t>)</t>
    </r>
  </si>
  <si>
    <r>
      <t>d</t>
    </r>
    <r>
      <rPr>
        <sz val="8"/>
        <rFont val="Times New Roman"/>
        <family val="1"/>
      </rPr>
      <t>2</t>
    </r>
  </si>
  <si>
    <r>
      <t>N(d</t>
    </r>
    <r>
      <rPr>
        <sz val="8"/>
        <rFont val="Times New Roman"/>
        <family val="1"/>
      </rPr>
      <t>2</t>
    </r>
    <r>
      <rPr>
        <sz val="11"/>
        <rFont val="Times New Roman"/>
        <family val="1"/>
      </rPr>
      <t>)</t>
    </r>
  </si>
  <si>
    <t>Kurs S(t0)</t>
  </si>
  <si>
    <r>
      <t>Div.-Rendite r</t>
    </r>
    <r>
      <rPr>
        <sz val="8"/>
        <rFont val="Times New Roman"/>
        <family val="1"/>
      </rPr>
      <t>d</t>
    </r>
  </si>
  <si>
    <t>Zeitwert  ZW</t>
  </si>
  <si>
    <t>innerer Wert  IW</t>
  </si>
  <si>
    <t>Aufgeld  A</t>
  </si>
  <si>
    <t>aus dem Arbeitsblatt "Zinssatz"</t>
  </si>
  <si>
    <t>Die Diskontierungsfaktoren stammen</t>
  </si>
  <si>
    <t>6 Jahre</t>
  </si>
  <si>
    <t>6-M.-Euribor (Forward-Rate)</t>
  </si>
  <si>
    <t>Berechnung des Optionspreises im Binomialmodell mit 3 Perioden</t>
  </si>
  <si>
    <t>Bewertung einer Floating-Rate-Note</t>
  </si>
  <si>
    <t>d(t, t+1 | 0)</t>
  </si>
  <si>
    <t>d(0, t)</t>
  </si>
  <si>
    <r>
      <t>i</t>
    </r>
    <r>
      <rPr>
        <vertAlign val="subscript"/>
        <sz val="12"/>
        <rFont val="Times New Roman"/>
        <family val="1"/>
      </rPr>
      <t>t, t+1| 0</t>
    </r>
  </si>
  <si>
    <t>Wert          Caplet</t>
  </si>
  <si>
    <t xml:space="preserve">bzw. </t>
  </si>
  <si>
    <t>EUR beim fairen Terminkurs</t>
  </si>
  <si>
    <t>Die Wahrscheinlichkeit, dass der Aktienkurs größer als</t>
  </si>
  <si>
    <t>ist,</t>
  </si>
  <si>
    <t>beträgt</t>
  </si>
  <si>
    <r>
      <t>s</t>
    </r>
    <r>
      <rPr>
        <vertAlign val="subscript"/>
        <sz val="10"/>
        <rFont val="Symbol"/>
        <family val="1"/>
        <charset val="2"/>
      </rPr>
      <t>T</t>
    </r>
    <r>
      <rPr>
        <vertAlign val="superscript"/>
        <sz val="10"/>
        <rFont val="Symbol"/>
        <family val="1"/>
        <charset val="2"/>
      </rPr>
      <t>2</t>
    </r>
    <r>
      <rPr>
        <vertAlign val="subscript"/>
        <sz val="10"/>
        <rFont val="Symbol"/>
        <family val="1"/>
        <charset val="2"/>
      </rPr>
      <t xml:space="preserve"> </t>
    </r>
    <r>
      <rPr>
        <sz val="10"/>
        <rFont val="Symbol"/>
        <family val="1"/>
        <charset val="2"/>
      </rPr>
      <t xml:space="preserve"> =</t>
    </r>
  </si>
  <si>
    <t>Näherung mit Satz 7.1.1</t>
  </si>
  <si>
    <t>a) und b)</t>
  </si>
  <si>
    <t>Gewinn-Verlust-Diagramm beim Call bzw. Put</t>
  </si>
  <si>
    <r>
      <t>1-Jahres-Forward-Zinssatz  i</t>
    </r>
    <r>
      <rPr>
        <vertAlign val="subscript"/>
        <sz val="10"/>
        <rFont val="Times New Roman"/>
        <family val="1"/>
      </rPr>
      <t>t-1,t / 0</t>
    </r>
  </si>
  <si>
    <t>Aktuelle Spot-Rate</t>
  </si>
  <si>
    <t>(Kassa-Preis)</t>
  </si>
  <si>
    <t>Nicht  für Excel geeignet.</t>
  </si>
  <si>
    <t>fairer Preis (PV)</t>
  </si>
  <si>
    <t>Volatilität (= Sigma)</t>
  </si>
  <si>
    <r>
      <t>risikloser stetiger Zins r</t>
    </r>
    <r>
      <rPr>
        <sz val="8"/>
        <rFont val="Times New Roman"/>
        <family val="1"/>
      </rPr>
      <t>c</t>
    </r>
  </si>
  <si>
    <t>PV (ohne Rundung)</t>
  </si>
  <si>
    <t>Andreas Pfeifer</t>
  </si>
  <si>
    <t>Hinweise:</t>
  </si>
  <si>
    <t>Werte in den weißen Zellen der Arbeitsblätter können geändert werden.</t>
  </si>
  <si>
    <t>Am unteren Rand sehen Sie die Arbeitsblätter, die in dieser Datei enthalten sind.</t>
  </si>
  <si>
    <t>Alle Angaben ohne Gewähr</t>
  </si>
  <si>
    <t>Kapitel 10: Derivative Finanzprodukte</t>
  </si>
  <si>
    <t>Berechnungen wichtiger Kennzahlen nach dem Black-Scholes-Merton-Modell</t>
  </si>
  <si>
    <t>Aufgabe 10.4.9 aus: A. Pfeifer, "Finanzmathematik - Übungsbuch"</t>
  </si>
  <si>
    <t>Bewertung eines Long-payer-Swaps unter der Voraussetzung: Basis-Spread = 0</t>
  </si>
  <si>
    <t>Spot-Rate (aktueller Zinssatz)</t>
  </si>
  <si>
    <t>Basis-Spread</t>
  </si>
  <si>
    <t>risikoloser Zins</t>
  </si>
  <si>
    <t>für alle Laufzeit größer als</t>
  </si>
  <si>
    <t>bei allen Zinszahlungen</t>
  </si>
  <si>
    <t xml:space="preserve">Monat(e)  </t>
  </si>
  <si>
    <t>Zeit vergangen seit Kauf:</t>
  </si>
  <si>
    <t>bei Gesamtlaufzeit</t>
  </si>
  <si>
    <t>Barwert Basis-Spread</t>
  </si>
  <si>
    <t>Jahr(e)</t>
  </si>
  <si>
    <t>Jahre (nur 1, 2, 3, 4, oder 5)</t>
  </si>
  <si>
    <t>Kauf im Nennwert von</t>
  </si>
  <si>
    <t>Barwert (ohne Basis-Spread)</t>
  </si>
  <si>
    <t>nach Kauf</t>
  </si>
  <si>
    <t>Barwert (mit Basis-Spread)</t>
  </si>
  <si>
    <t>maximal 5 Monate</t>
  </si>
  <si>
    <t>Diese Datei enthält Lösungen zu Beispielen und Übungsaufgaben aus</t>
  </si>
  <si>
    <t xml:space="preserve">"Finanzmathematik - Lehrbuch für Studium und Praxis"  </t>
  </si>
  <si>
    <t>von Andreas Pfeifer. Es ist erschienen im Verlag Europa-Lehrmittel.</t>
  </si>
  <si>
    <t>In diesem Buch finden Sie auch weitere Informationen zur Benutzung dieser Excel-Datei.</t>
  </si>
  <si>
    <t>(letzter) festgesetzter Zinssatz ifix</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</si>
</sst>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44" formatCode="_-* #,##0.00\ &quot;€&quot;_-;\-* #,##0.00\ &quot;€&quot;_-;_-* &quot;-&quot;??\ &quot;€&quot;_-;_-@_-"/>
    <numFmt numFmtId="43" formatCode="_-* #,##0.00\ _€_-;\-* #,##0.00\ _€_-;_-* &quot;-&quot;??\ _€_-;_-@_-"/>
    <numFmt numFmtId="164" formatCode="_-* #,##0.00\ &quot;DM&quot;_-;\-* #,##0.00\ &quot;DM&quot;_-;_-* &quot;-&quot;??\ &quot;DM&quot;_-;_-@_-"/>
    <numFmt numFmtId="165" formatCode="_-* #,##0.00\ _D_M_-;\-* #,##0.00\ _D_M_-;_-* &quot;-&quot;??\ _D_M_-;_-@_-"/>
    <numFmt numFmtId="166" formatCode="0.000%"/>
    <numFmt numFmtId="167" formatCode="0.000"/>
    <numFmt numFmtId="168" formatCode="0.0000"/>
    <numFmt numFmtId="169" formatCode="#,##0.000"/>
    <numFmt numFmtId="170" formatCode="0.0000%"/>
    <numFmt numFmtId="171" formatCode="0.00000"/>
    <numFmt numFmtId="172" formatCode="0.00000%"/>
    <numFmt numFmtId="173" formatCode="#,##0.00\ &quot;DM&quot;"/>
    <numFmt numFmtId="174" formatCode="0.000000%"/>
    <numFmt numFmtId="175" formatCode="dd/mm/yy"/>
    <numFmt numFmtId="176" formatCode="0.00000000"/>
    <numFmt numFmtId="177" formatCode="0.0000000"/>
    <numFmt numFmtId="178" formatCode="0.000000000"/>
    <numFmt numFmtId="179" formatCode="#,##0.000000"/>
    <numFmt numFmtId="180" formatCode="dd/\ mm\ yyyy"/>
    <numFmt numFmtId="181" formatCode="dd\ mm\ yyyy"/>
    <numFmt numFmtId="182" formatCode="_-* #,##0.0000000000\ _€_-;\-* #,##0.0000000000\ _€_-;_-* &quot;-&quot;??\ _€_-;_-@_-"/>
    <numFmt numFmtId="183" formatCode="#,##0.00\ &quot;DM&quot;;[Red]\-#,##0.00\ &quot;DM&quot;"/>
    <numFmt numFmtId="184" formatCode="General\ \-"/>
    <numFmt numFmtId="185" formatCode="&quot;S + &quot;\ General"/>
    <numFmt numFmtId="186" formatCode="General\ &quot;S&quot;"/>
    <numFmt numFmtId="187" formatCode="d/\ mm\ yy"/>
    <numFmt numFmtId="188" formatCode="#\ ???/???"/>
    <numFmt numFmtId="189" formatCode="0.000000"/>
    <numFmt numFmtId="190" formatCode="0.0000000%"/>
    <numFmt numFmtId="191" formatCode="0.00000000000"/>
    <numFmt numFmtId="192" formatCode="#,##0.00_ ;\-#,##0.00\ "/>
    <numFmt numFmtId="193" formatCode="0.000000000000000"/>
  </numFmts>
  <fonts count="45">
    <font>
      <sz val="10"/>
      <name val="Arial"/>
    </font>
    <font>
      <b/>
      <sz val="10"/>
      <name val="Arial"/>
      <family val="2"/>
    </font>
    <font>
      <sz val="10"/>
      <name val="Arial"/>
      <family val="2"/>
    </font>
    <font>
      <sz val="10"/>
      <name val="Helv"/>
    </font>
    <font>
      <sz val="10"/>
      <name val="MS Sans Serif"/>
      <family val="2"/>
    </font>
    <font>
      <sz val="10"/>
      <name val="Times New Roman"/>
      <family val="1"/>
    </font>
    <font>
      <b/>
      <sz val="10"/>
      <name val="MS Sans Serif"/>
      <family val="2"/>
    </font>
    <font>
      <sz val="10"/>
      <color indexed="42"/>
      <name val="MS Sans Serif"/>
      <family val="2"/>
    </font>
    <font>
      <b/>
      <sz val="10"/>
      <name val="MS Sans Serif"/>
      <family val="2"/>
    </font>
    <font>
      <b/>
      <sz val="10"/>
      <name val="Times New Roman"/>
      <family val="1"/>
    </font>
    <font>
      <b/>
      <vertAlign val="subscript"/>
      <sz val="10"/>
      <name val="Times New Roman"/>
      <family val="1"/>
    </font>
    <font>
      <sz val="10"/>
      <name val="Arial"/>
      <family val="2"/>
    </font>
    <font>
      <sz val="10"/>
      <name val="MS Sans Serif"/>
      <family val="2"/>
    </font>
    <font>
      <sz val="10"/>
      <color indexed="81"/>
      <name val="Tahoma"/>
      <family val="2"/>
    </font>
    <font>
      <b/>
      <sz val="8"/>
      <color indexed="81"/>
      <name val="Tahoma"/>
      <family val="2"/>
    </font>
    <font>
      <sz val="8"/>
      <name val="Arial"/>
      <family val="2"/>
    </font>
    <font>
      <b/>
      <sz val="10"/>
      <name val="Arial"/>
      <family val="2"/>
    </font>
    <font>
      <b/>
      <sz val="12"/>
      <name val="Helv"/>
    </font>
    <font>
      <b/>
      <sz val="10"/>
      <name val="Helv"/>
    </font>
    <font>
      <b/>
      <sz val="10"/>
      <color indexed="81"/>
      <name val="Tahoma"/>
      <family val="2"/>
    </font>
    <font>
      <vertAlign val="subscript"/>
      <sz val="10"/>
      <name val="Times New Roman"/>
      <family val="1"/>
    </font>
    <font>
      <sz val="8"/>
      <name val="Times New Roman"/>
      <family val="1"/>
    </font>
    <font>
      <b/>
      <sz val="12"/>
      <name val="MS Sans Serif"/>
      <family val="2"/>
    </font>
    <font>
      <sz val="12"/>
      <name val="Arial"/>
      <family val="2"/>
    </font>
    <font>
      <b/>
      <sz val="12"/>
      <color indexed="81"/>
      <name val="Tahoma"/>
      <family val="2"/>
    </font>
    <font>
      <b/>
      <sz val="12"/>
      <name val="Arial"/>
      <family val="2"/>
    </font>
    <font>
      <sz val="12"/>
      <name val="Arial"/>
      <family val="2"/>
    </font>
    <font>
      <sz val="10"/>
      <name val="Times New Roman"/>
      <family val="1"/>
    </font>
    <font>
      <b/>
      <sz val="10"/>
      <name val="Times New Roman"/>
      <family val="1"/>
    </font>
    <font>
      <sz val="9"/>
      <name val="NewsGoth BT"/>
      <family val="2"/>
    </font>
    <font>
      <u/>
      <sz val="10"/>
      <name val="Helv"/>
    </font>
    <font>
      <sz val="8"/>
      <name val="Helv"/>
    </font>
    <font>
      <sz val="10"/>
      <name val="Symbol"/>
      <family val="1"/>
      <charset val="2"/>
    </font>
    <font>
      <vertAlign val="subscript"/>
      <sz val="10"/>
      <name val="Symbol"/>
      <family val="1"/>
      <charset val="2"/>
    </font>
    <font>
      <b/>
      <sz val="11"/>
      <name val="Arial"/>
      <family val="2"/>
    </font>
    <font>
      <sz val="7"/>
      <name val="Arial"/>
      <family val="2"/>
    </font>
    <font>
      <sz val="9"/>
      <name val="Arial"/>
      <family val="2"/>
    </font>
    <font>
      <sz val="11"/>
      <name val="Arial"/>
      <family val="2"/>
    </font>
    <font>
      <sz val="12"/>
      <name val="Times New Roman"/>
      <family val="1"/>
    </font>
    <font>
      <vertAlign val="subscript"/>
      <sz val="12"/>
      <name val="Times New Roman"/>
      <family val="1"/>
    </font>
    <font>
      <b/>
      <sz val="14"/>
      <name val="Times New Roman"/>
      <family val="1"/>
    </font>
    <font>
      <sz val="11"/>
      <name val="Times New Roman"/>
      <family val="1"/>
    </font>
    <font>
      <b/>
      <sz val="11"/>
      <name val="Times New Roman"/>
      <family val="1"/>
    </font>
    <font>
      <vertAlign val="superscript"/>
      <sz val="10"/>
      <name val="Symbol"/>
      <family val="1"/>
      <charset val="2"/>
    </font>
    <font>
      <b/>
      <sz val="18"/>
      <name val="Helv"/>
    </font>
  </fonts>
  <fills count="11">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9"/>
        <bgColor indexed="9"/>
      </patternFill>
    </fill>
    <fill>
      <patternFill patternType="solid">
        <fgColor indexed="27"/>
        <bgColor indexed="64"/>
      </patternFill>
    </fill>
    <fill>
      <patternFill patternType="solid">
        <fgColor indexed="50"/>
        <bgColor indexed="64"/>
      </patternFill>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indexed="44"/>
        <bgColor indexed="64"/>
      </patternFill>
    </fill>
  </fills>
  <borders count="23">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style="dotted">
        <color indexed="64"/>
      </right>
      <top style="dotted">
        <color indexed="64"/>
      </top>
      <bottom style="dotted">
        <color indexed="64"/>
      </bottom>
      <diagonal/>
    </border>
  </borders>
  <cellStyleXfs count="14">
    <xf numFmtId="0" fontId="0" fillId="0" borderId="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4" fontId="2" fillId="0" borderId="0" applyFont="0" applyFill="0" applyBorder="0" applyAlignment="0" applyProtection="0"/>
    <xf numFmtId="4" fontId="3" fillId="0" borderId="0" applyFont="0" applyFill="0" applyBorder="0" applyAlignment="0" applyProtection="0"/>
    <xf numFmtId="9" fontId="2" fillId="0" borderId="0" applyFont="0" applyFill="0" applyBorder="0" applyAlignment="0" applyProtection="0"/>
    <xf numFmtId="0" fontId="3" fillId="0" borderId="0"/>
    <xf numFmtId="0" fontId="27" fillId="0" borderId="0"/>
    <xf numFmtId="0" fontId="4" fillId="0" borderId="0"/>
    <xf numFmtId="0" fontId="29" fillId="0" borderId="1" applyNumberFormat="0" applyProtection="0">
      <alignment horizontal="left" vertical="top"/>
    </xf>
    <xf numFmtId="164" fontId="2" fillId="0" borderId="0" applyFont="0" applyFill="0" applyBorder="0" applyAlignment="0" applyProtection="0"/>
    <xf numFmtId="0" fontId="3" fillId="0" borderId="0"/>
    <xf numFmtId="0" fontId="2" fillId="0" borderId="0"/>
  </cellStyleXfs>
  <cellXfs count="529">
    <xf numFmtId="0" fontId="0" fillId="0" borderId="0" xfId="0"/>
    <xf numFmtId="4" fontId="0" fillId="2" borderId="0" xfId="0" applyNumberFormat="1" applyFill="1"/>
    <xf numFmtId="4" fontId="0" fillId="3" borderId="0" xfId="0" applyNumberFormat="1" applyFill="1"/>
    <xf numFmtId="0" fontId="1" fillId="2" borderId="0" xfId="0" applyNumberFormat="1" applyFont="1" applyFill="1"/>
    <xf numFmtId="0" fontId="0" fillId="2" borderId="0" xfId="0" applyNumberFormat="1" applyFill="1"/>
    <xf numFmtId="0" fontId="0" fillId="2" borderId="0" xfId="0" applyNumberFormat="1" applyFill="1" applyAlignment="1">
      <alignment horizontal="right"/>
    </xf>
    <xf numFmtId="9" fontId="0" fillId="3" borderId="0" xfId="0" applyNumberFormat="1" applyFill="1"/>
    <xf numFmtId="0" fontId="0" fillId="3" borderId="0" xfId="0" applyNumberFormat="1" applyFill="1"/>
    <xf numFmtId="10" fontId="0" fillId="3" borderId="0" xfId="0" applyNumberFormat="1" applyFill="1"/>
    <xf numFmtId="0" fontId="4" fillId="2" borderId="0" xfId="9" applyFont="1" applyFill="1"/>
    <xf numFmtId="0" fontId="4" fillId="2" borderId="0" xfId="9" applyFill="1"/>
    <xf numFmtId="0" fontId="4" fillId="0" borderId="0" xfId="9"/>
    <xf numFmtId="0" fontId="4" fillId="2" borderId="2" xfId="9" applyFill="1" applyBorder="1"/>
    <xf numFmtId="0" fontId="0" fillId="2" borderId="1" xfId="0" applyFill="1" applyBorder="1"/>
    <xf numFmtId="0" fontId="4" fillId="2" borderId="3" xfId="9" applyFill="1" applyBorder="1"/>
    <xf numFmtId="4" fontId="4" fillId="3" borderId="4" xfId="9" applyNumberFormat="1" applyFill="1" applyBorder="1"/>
    <xf numFmtId="0" fontId="4" fillId="3" borderId="2" xfId="9" applyFont="1" applyFill="1" applyBorder="1"/>
    <xf numFmtId="0" fontId="4" fillId="2" borderId="2" xfId="9" applyFont="1" applyFill="1" applyBorder="1"/>
    <xf numFmtId="0" fontId="4" fillId="3" borderId="4" xfId="9" applyNumberFormat="1" applyFill="1" applyBorder="1"/>
    <xf numFmtId="175" fontId="4" fillId="3" borderId="4" xfId="6" applyNumberFormat="1" applyFont="1" applyFill="1" applyBorder="1"/>
    <xf numFmtId="0" fontId="7" fillId="2" borderId="0" xfId="9" applyFont="1" applyFill="1"/>
    <xf numFmtId="0" fontId="8" fillId="2" borderId="0" xfId="9" applyFont="1" applyFill="1"/>
    <xf numFmtId="14" fontId="9" fillId="2" borderId="4" xfId="9" applyNumberFormat="1" applyFont="1" applyFill="1" applyBorder="1" applyAlignment="1">
      <alignment horizontal="right" wrapText="1"/>
    </xf>
    <xf numFmtId="0" fontId="9" fillId="2" borderId="4" xfId="9" applyFont="1" applyFill="1" applyBorder="1" applyAlignment="1">
      <alignment horizontal="right" wrapText="1"/>
    </xf>
    <xf numFmtId="0" fontId="9" fillId="2" borderId="5" xfId="9" applyFont="1" applyFill="1" applyBorder="1" applyAlignment="1">
      <alignment horizontal="right" wrapText="1"/>
    </xf>
    <xf numFmtId="0" fontId="7" fillId="2" borderId="0" xfId="9" applyFont="1" applyFill="1" applyAlignment="1">
      <alignment wrapText="1"/>
    </xf>
    <xf numFmtId="0" fontId="8" fillId="2" borderId="4" xfId="9" applyFont="1" applyFill="1" applyBorder="1" applyAlignment="1">
      <alignment horizontal="right" wrapText="1"/>
    </xf>
    <xf numFmtId="0" fontId="9" fillId="2" borderId="4" xfId="9" applyFont="1" applyFill="1" applyBorder="1" applyAlignment="1">
      <alignment horizontal="right"/>
    </xf>
    <xf numFmtId="0" fontId="9" fillId="2" borderId="6" xfId="9" applyFont="1" applyFill="1" applyBorder="1" applyAlignment="1">
      <alignment horizontal="right" wrapText="1"/>
    </xf>
    <xf numFmtId="0" fontId="4" fillId="2" borderId="4" xfId="9" applyFill="1" applyBorder="1"/>
    <xf numFmtId="175" fontId="11" fillId="2" borderId="4" xfId="0" applyNumberFormat="1" applyFont="1" applyFill="1" applyBorder="1" applyAlignment="1">
      <alignment horizontal="center"/>
    </xf>
    <xf numFmtId="167" fontId="5" fillId="2" borderId="4" xfId="9" applyNumberFormat="1" applyFont="1" applyFill="1" applyBorder="1" applyAlignment="1">
      <alignment horizontal="right" wrapText="1"/>
    </xf>
    <xf numFmtId="166" fontId="4" fillId="3" borderId="4" xfId="9" applyNumberFormat="1" applyFill="1" applyBorder="1"/>
    <xf numFmtId="177" fontId="5" fillId="2" borderId="4" xfId="9" applyNumberFormat="1" applyFont="1" applyFill="1" applyBorder="1" applyAlignment="1">
      <alignment horizontal="right" wrapText="1"/>
    </xf>
    <xf numFmtId="170" fontId="5" fillId="2" borderId="4" xfId="6" applyNumberFormat="1" applyFont="1" applyFill="1" applyBorder="1" applyAlignment="1">
      <alignment horizontal="right" wrapText="1"/>
    </xf>
    <xf numFmtId="4" fontId="5" fillId="2" borderId="4" xfId="9" applyNumberFormat="1" applyFont="1" applyFill="1" applyBorder="1"/>
    <xf numFmtId="4" fontId="5" fillId="2" borderId="5" xfId="9" applyNumberFormat="1" applyFont="1" applyFill="1" applyBorder="1" applyAlignment="1">
      <alignment horizontal="right" wrapText="1"/>
    </xf>
    <xf numFmtId="167" fontId="12" fillId="2" borderId="4" xfId="9" applyNumberFormat="1" applyFont="1" applyFill="1" applyBorder="1" applyAlignment="1">
      <alignment horizontal="right" wrapText="1"/>
    </xf>
    <xf numFmtId="2" fontId="5" fillId="2" borderId="4" xfId="9" applyNumberFormat="1" applyFont="1" applyFill="1" applyBorder="1" applyAlignment="1">
      <alignment horizontal="right" wrapText="1"/>
    </xf>
    <xf numFmtId="0" fontId="5" fillId="2" borderId="2" xfId="9" applyFont="1" applyFill="1" applyBorder="1" applyAlignment="1">
      <alignment horizontal="right"/>
    </xf>
    <xf numFmtId="175" fontId="5" fillId="2" borderId="7" xfId="9" applyNumberFormat="1" applyFont="1" applyFill="1" applyBorder="1" applyAlignment="1">
      <alignment horizontal="right" wrapText="1"/>
    </xf>
    <xf numFmtId="4" fontId="5" fillId="2" borderId="8" xfId="9" applyNumberFormat="1" applyFont="1" applyFill="1" applyBorder="1"/>
    <xf numFmtId="4" fontId="5" fillId="2" borderId="3" xfId="9" applyNumberFormat="1" applyFont="1" applyFill="1" applyBorder="1"/>
    <xf numFmtId="174" fontId="7" fillId="2" borderId="0" xfId="9" applyNumberFormat="1" applyFont="1" applyFill="1"/>
    <xf numFmtId="4" fontId="5" fillId="2" borderId="6" xfId="9" applyNumberFormat="1" applyFont="1" applyFill="1" applyBorder="1"/>
    <xf numFmtId="4" fontId="5" fillId="2" borderId="0" xfId="9" applyNumberFormat="1" applyFont="1" applyFill="1" applyBorder="1"/>
    <xf numFmtId="175" fontId="5" fillId="2" borderId="9" xfId="9" applyNumberFormat="1" applyFont="1" applyFill="1" applyBorder="1" applyAlignment="1">
      <alignment horizontal="right" wrapText="1"/>
    </xf>
    <xf numFmtId="4" fontId="5" fillId="2" borderId="10" xfId="9" applyNumberFormat="1" applyFont="1" applyFill="1" applyBorder="1"/>
    <xf numFmtId="167" fontId="5" fillId="2" borderId="4" xfId="9" applyNumberFormat="1" applyFont="1" applyFill="1" applyBorder="1"/>
    <xf numFmtId="166" fontId="4" fillId="2" borderId="4" xfId="9" applyNumberFormat="1" applyFill="1" applyBorder="1"/>
    <xf numFmtId="4" fontId="5" fillId="2" borderId="11" xfId="9" applyNumberFormat="1" applyFont="1" applyFill="1" applyBorder="1"/>
    <xf numFmtId="0" fontId="5" fillId="2" borderId="11" xfId="9" applyFont="1" applyFill="1" applyBorder="1"/>
    <xf numFmtId="0" fontId="5" fillId="2" borderId="0" xfId="9" applyFont="1" applyFill="1" applyBorder="1"/>
    <xf numFmtId="0" fontId="5" fillId="2" borderId="4" xfId="9" applyNumberFormat="1" applyFont="1" applyFill="1" applyBorder="1"/>
    <xf numFmtId="4" fontId="5" fillId="2" borderId="4" xfId="9" applyNumberFormat="1" applyFont="1" applyFill="1" applyBorder="1" applyAlignment="1">
      <alignment horizontal="right" wrapText="1"/>
    </xf>
    <xf numFmtId="0" fontId="5" fillId="2" borderId="12" xfId="9" applyFont="1" applyFill="1" applyBorder="1"/>
    <xf numFmtId="0" fontId="5" fillId="2" borderId="13" xfId="9" applyFont="1" applyFill="1" applyBorder="1"/>
    <xf numFmtId="175" fontId="5" fillId="2" borderId="14" xfId="9" applyNumberFormat="1" applyFont="1" applyFill="1" applyBorder="1" applyAlignment="1">
      <alignment horizontal="right" wrapText="1"/>
    </xf>
    <xf numFmtId="4" fontId="5" fillId="2" borderId="15" xfId="9" applyNumberFormat="1" applyFont="1" applyFill="1" applyBorder="1"/>
    <xf numFmtId="0" fontId="5" fillId="2" borderId="2" xfId="9" applyFont="1" applyFill="1" applyBorder="1"/>
    <xf numFmtId="0" fontId="5" fillId="2" borderId="1" xfId="9" applyFont="1" applyFill="1" applyBorder="1"/>
    <xf numFmtId="177" fontId="5" fillId="2" borderId="1" xfId="9" applyNumberFormat="1" applyFont="1" applyFill="1" applyBorder="1"/>
    <xf numFmtId="0" fontId="5" fillId="2" borderId="3" xfId="9" applyFont="1" applyFill="1" applyBorder="1" applyAlignment="1">
      <alignment horizontal="right"/>
    </xf>
    <xf numFmtId="4" fontId="5" fillId="2" borderId="0" xfId="9" applyNumberFormat="1" applyFont="1" applyFill="1"/>
    <xf numFmtId="4" fontId="5" fillId="2" borderId="0" xfId="9" applyNumberFormat="1" applyFont="1" applyFill="1" applyBorder="1" applyAlignment="1">
      <alignment horizontal="right"/>
    </xf>
    <xf numFmtId="4" fontId="9" fillId="2" borderId="4" xfId="9" applyNumberFormat="1" applyFont="1" applyFill="1" applyBorder="1"/>
    <xf numFmtId="0" fontId="12" fillId="2" borderId="0" xfId="9" applyFont="1" applyFill="1"/>
    <xf numFmtId="0" fontId="5" fillId="2" borderId="0" xfId="9" applyFont="1" applyFill="1"/>
    <xf numFmtId="4" fontId="5" fillId="2" borderId="12" xfId="9" applyNumberFormat="1" applyFont="1" applyFill="1" applyBorder="1"/>
    <xf numFmtId="4" fontId="9" fillId="2" borderId="12" xfId="9" applyNumberFormat="1" applyFont="1" applyFill="1" applyBorder="1"/>
    <xf numFmtId="0" fontId="0" fillId="2" borderId="0" xfId="0" applyFill="1"/>
    <xf numFmtId="0" fontId="1" fillId="2" borderId="0" xfId="0" applyFont="1" applyFill="1"/>
    <xf numFmtId="0" fontId="0" fillId="2" borderId="0" xfId="0" applyFill="1" applyAlignment="1">
      <alignment horizontal="right"/>
    </xf>
    <xf numFmtId="14" fontId="0" fillId="3" borderId="0" xfId="0" applyNumberFormat="1" applyFill="1" applyAlignment="1">
      <alignment horizontal="center"/>
    </xf>
    <xf numFmtId="0" fontId="0" fillId="3" borderId="0" xfId="0" applyFill="1"/>
    <xf numFmtId="0" fontId="0" fillId="2" borderId="4" xfId="0" applyFill="1" applyBorder="1" applyAlignment="1">
      <alignment horizontal="right" wrapText="1"/>
    </xf>
    <xf numFmtId="13" fontId="0" fillId="3" borderId="4" xfId="0" applyNumberFormat="1" applyFill="1" applyBorder="1" applyAlignment="1">
      <alignment horizontal="center"/>
    </xf>
    <xf numFmtId="10" fontId="0" fillId="3" borderId="4" xfId="0" applyNumberFormat="1" applyFill="1" applyBorder="1" applyAlignment="1">
      <alignment horizontal="right"/>
    </xf>
    <xf numFmtId="10" fontId="2" fillId="3" borderId="4" xfId="6" applyNumberFormat="1" applyFill="1" applyBorder="1" applyAlignment="1">
      <alignment horizontal="right"/>
    </xf>
    <xf numFmtId="171" fontId="0" fillId="2" borderId="4" xfId="0" applyNumberFormat="1" applyFill="1" applyBorder="1" applyAlignment="1">
      <alignment horizontal="right"/>
    </xf>
    <xf numFmtId="0" fontId="0" fillId="3" borderId="4" xfId="0" applyNumberFormat="1" applyFill="1" applyBorder="1" applyAlignment="1">
      <alignment horizontal="center"/>
    </xf>
    <xf numFmtId="171" fontId="1" fillId="2" borderId="4" xfId="0" applyNumberFormat="1" applyFont="1" applyFill="1" applyBorder="1" applyAlignment="1">
      <alignment horizontal="right"/>
    </xf>
    <xf numFmtId="171" fontId="16" fillId="2" borderId="4" xfId="0" applyNumberFormat="1" applyFont="1" applyFill="1" applyBorder="1" applyAlignment="1">
      <alignment horizontal="right"/>
    </xf>
    <xf numFmtId="166" fontId="2" fillId="2" borderId="0" xfId="6" applyNumberFormat="1" applyFill="1"/>
    <xf numFmtId="0" fontId="16" fillId="2" borderId="0" xfId="0" applyFont="1" applyFill="1"/>
    <xf numFmtId="166" fontId="2" fillId="3" borderId="0" xfId="6" applyNumberFormat="1" applyFill="1"/>
    <xf numFmtId="188" fontId="0" fillId="3" borderId="0" xfId="0" applyNumberFormat="1" applyFill="1"/>
    <xf numFmtId="168" fontId="16" fillId="2" borderId="0" xfId="0" applyNumberFormat="1" applyFont="1" applyFill="1"/>
    <xf numFmtId="2" fontId="0" fillId="3" borderId="0" xfId="0" applyNumberFormat="1" applyFill="1"/>
    <xf numFmtId="0" fontId="17" fillId="2" borderId="0" xfId="7" applyFont="1" applyFill="1"/>
    <xf numFmtId="0" fontId="3" fillId="2" borderId="0" xfId="7" applyFill="1"/>
    <xf numFmtId="0" fontId="18" fillId="2" borderId="0" xfId="7" applyFont="1" applyFill="1"/>
    <xf numFmtId="0" fontId="3" fillId="2" borderId="0" xfId="7" applyFont="1" applyFill="1"/>
    <xf numFmtId="0" fontId="3" fillId="2" borderId="2" xfId="7" applyFont="1" applyFill="1" applyBorder="1"/>
    <xf numFmtId="0" fontId="3" fillId="2" borderId="3" xfId="7" applyFill="1" applyBorder="1"/>
    <xf numFmtId="14" fontId="3" fillId="3" borderId="4" xfId="7" applyNumberFormat="1" applyFill="1" applyBorder="1"/>
    <xf numFmtId="0" fontId="3" fillId="2" borderId="3" xfId="7" applyFont="1" applyFill="1" applyBorder="1"/>
    <xf numFmtId="170" fontId="3" fillId="3" borderId="4" xfId="7" applyNumberFormat="1" applyFill="1" applyBorder="1"/>
    <xf numFmtId="0" fontId="18" fillId="2" borderId="2" xfId="7" applyFont="1" applyFill="1" applyBorder="1"/>
    <xf numFmtId="0" fontId="3" fillId="3" borderId="4" xfId="7" applyFont="1" applyFill="1" applyBorder="1"/>
    <xf numFmtId="0" fontId="3" fillId="3" borderId="4" xfId="7" applyFill="1" applyBorder="1"/>
    <xf numFmtId="10" fontId="3" fillId="3" borderId="4" xfId="7" applyNumberFormat="1" applyFill="1" applyBorder="1"/>
    <xf numFmtId="182" fontId="3" fillId="2" borderId="4" xfId="2" applyNumberFormat="1" applyFont="1" applyFill="1" applyBorder="1" applyAlignment="1"/>
    <xf numFmtId="182" fontId="3" fillId="2" borderId="0" xfId="2" applyNumberFormat="1" applyFont="1" applyFill="1" applyAlignment="1">
      <alignment horizontal="right"/>
    </xf>
    <xf numFmtId="2" fontId="3" fillId="2" borderId="4" xfId="7" applyNumberFormat="1" applyFill="1" applyBorder="1"/>
    <xf numFmtId="10" fontId="3" fillId="2" borderId="0" xfId="7" applyNumberFormat="1" applyFill="1"/>
    <xf numFmtId="14" fontId="3" fillId="2" borderId="4" xfId="7" applyNumberFormat="1" applyFont="1" applyFill="1" applyBorder="1"/>
    <xf numFmtId="0" fontId="3" fillId="2" borderId="2" xfId="7" applyFont="1" applyFill="1" applyBorder="1" applyAlignment="1">
      <alignment horizontal="right"/>
    </xf>
    <xf numFmtId="4" fontId="3" fillId="3" borderId="3" xfId="7" applyNumberFormat="1" applyFill="1" applyBorder="1"/>
    <xf numFmtId="2" fontId="3" fillId="2" borderId="4" xfId="7" applyNumberFormat="1" applyFont="1" applyFill="1" applyBorder="1"/>
    <xf numFmtId="166" fontId="3" fillId="2" borderId="3" xfId="7" applyNumberFormat="1" applyFont="1" applyFill="1" applyBorder="1"/>
    <xf numFmtId="0" fontId="3" fillId="2" borderId="16" xfId="7" applyFont="1" applyFill="1" applyBorder="1"/>
    <xf numFmtId="0" fontId="3" fillId="2" borderId="17" xfId="7" applyFill="1" applyBorder="1"/>
    <xf numFmtId="166" fontId="3" fillId="2" borderId="4" xfId="7" applyNumberFormat="1" applyFont="1" applyFill="1" applyBorder="1"/>
    <xf numFmtId="0" fontId="3" fillId="2" borderId="0" xfId="7" applyFont="1" applyFill="1" applyBorder="1" applyAlignment="1">
      <alignment horizontal="right"/>
    </xf>
    <xf numFmtId="2" fontId="3" fillId="2" borderId="0" xfId="7" applyNumberFormat="1" applyFont="1" applyFill="1" applyBorder="1"/>
    <xf numFmtId="0" fontId="3" fillId="2" borderId="4" xfId="7" applyFont="1" applyFill="1" applyBorder="1"/>
    <xf numFmtId="4" fontId="3" fillId="2" borderId="0" xfId="7" applyNumberFormat="1" applyFont="1" applyFill="1" applyBorder="1" applyAlignment="1">
      <alignment horizontal="right"/>
    </xf>
    <xf numFmtId="4" fontId="3" fillId="2" borderId="0" xfId="7" applyNumberFormat="1" applyFill="1"/>
    <xf numFmtId="0" fontId="3" fillId="2" borderId="0" xfId="7" applyFont="1" applyFill="1" applyAlignment="1">
      <alignment horizontal="right"/>
    </xf>
    <xf numFmtId="0" fontId="3" fillId="2" borderId="0" xfId="7" applyFont="1" applyFill="1" applyAlignment="1">
      <alignment horizontal="center"/>
    </xf>
    <xf numFmtId="2" fontId="3" fillId="2" borderId="13" xfId="7" applyNumberFormat="1" applyFill="1" applyBorder="1"/>
    <xf numFmtId="4" fontId="3" fillId="2" borderId="0" xfId="7" applyNumberFormat="1" applyFill="1" applyBorder="1"/>
    <xf numFmtId="0" fontId="3" fillId="2" borderId="0" xfId="7" applyFont="1" applyFill="1" applyBorder="1" applyAlignment="1">
      <alignment horizontal="left"/>
    </xf>
    <xf numFmtId="0" fontId="3" fillId="2" borderId="0" xfId="7" applyFill="1" applyBorder="1"/>
    <xf numFmtId="0" fontId="3" fillId="2" borderId="0" xfId="7" applyFont="1" applyFill="1" applyBorder="1"/>
    <xf numFmtId="0" fontId="3" fillId="2" borderId="4" xfId="7" applyFont="1" applyFill="1" applyBorder="1" applyAlignment="1">
      <alignment horizontal="right"/>
    </xf>
    <xf numFmtId="0" fontId="3" fillId="2" borderId="4" xfId="7" applyFont="1" applyFill="1" applyBorder="1" applyAlignment="1">
      <alignment horizontal="right" wrapText="1"/>
    </xf>
    <xf numFmtId="0" fontId="3" fillId="2" borderId="6" xfId="7" applyFont="1" applyFill="1" applyBorder="1" applyAlignment="1">
      <alignment wrapText="1"/>
    </xf>
    <xf numFmtId="0" fontId="3" fillId="2" borderId="0" xfId="7" applyFont="1" applyFill="1" applyBorder="1" applyAlignment="1">
      <alignment wrapText="1"/>
    </xf>
    <xf numFmtId="14" fontId="3" fillId="2" borderId="4" xfId="7" applyNumberFormat="1" applyFill="1" applyBorder="1"/>
    <xf numFmtId="4" fontId="3" fillId="2" borderId="4" xfId="7" applyNumberFormat="1" applyFill="1" applyBorder="1"/>
    <xf numFmtId="0" fontId="3" fillId="2" borderId="4" xfId="7" applyNumberFormat="1" applyFill="1" applyBorder="1"/>
    <xf numFmtId="0" fontId="3" fillId="2" borderId="12" xfId="7" applyFill="1" applyBorder="1"/>
    <xf numFmtId="14" fontId="3" fillId="2" borderId="12" xfId="7" applyNumberFormat="1" applyFill="1" applyBorder="1"/>
    <xf numFmtId="4" fontId="3" fillId="2" borderId="12" xfId="7" applyNumberFormat="1" applyFill="1" applyBorder="1"/>
    <xf numFmtId="0" fontId="3" fillId="2" borderId="12" xfId="7" applyNumberFormat="1" applyFill="1" applyBorder="1"/>
    <xf numFmtId="0" fontId="3" fillId="0" borderId="0" xfId="7"/>
    <xf numFmtId="4" fontId="18" fillId="2" borderId="4" xfId="7" applyNumberFormat="1" applyFont="1" applyFill="1" applyBorder="1"/>
    <xf numFmtId="183" fontId="0" fillId="2" borderId="0" xfId="0" applyNumberFormat="1" applyFill="1"/>
    <xf numFmtId="0" fontId="0" fillId="2" borderId="4" xfId="0" applyFill="1" applyBorder="1"/>
    <xf numFmtId="4" fontId="0" fillId="3" borderId="4" xfId="0" applyNumberFormat="1" applyFill="1" applyBorder="1"/>
    <xf numFmtId="0" fontId="0" fillId="3" borderId="4" xfId="0" applyFill="1" applyBorder="1"/>
    <xf numFmtId="4" fontId="0" fillId="2" borderId="4" xfId="0" applyNumberFormat="1" applyFill="1" applyBorder="1"/>
    <xf numFmtId="10" fontId="0" fillId="2" borderId="4" xfId="0" applyNumberFormat="1" applyFill="1" applyBorder="1"/>
    <xf numFmtId="2" fontId="0" fillId="2" borderId="4" xfId="0" applyNumberFormat="1" applyFill="1" applyBorder="1"/>
    <xf numFmtId="0" fontId="11" fillId="2" borderId="0" xfId="0" applyFont="1" applyFill="1" applyAlignment="1">
      <alignment horizontal="center"/>
    </xf>
    <xf numFmtId="0" fontId="11" fillId="2" borderId="0" xfId="0" applyFont="1" applyFill="1"/>
    <xf numFmtId="0" fontId="11" fillId="0" borderId="0" xfId="0" applyFont="1"/>
    <xf numFmtId="0" fontId="11" fillId="2" borderId="4" xfId="0" applyFont="1" applyFill="1" applyBorder="1" applyAlignment="1">
      <alignment horizontal="right"/>
    </xf>
    <xf numFmtId="2" fontId="11" fillId="3" borderId="4" xfId="0" applyNumberFormat="1" applyFont="1" applyFill="1" applyBorder="1"/>
    <xf numFmtId="10" fontId="11" fillId="3" borderId="4" xfId="6" applyNumberFormat="1" applyFont="1" applyFill="1" applyBorder="1"/>
    <xf numFmtId="9" fontId="11" fillId="3" borderId="4" xfId="0" applyNumberFormat="1" applyFont="1" applyFill="1" applyBorder="1"/>
    <xf numFmtId="0" fontId="11" fillId="3" borderId="4" xfId="0" applyFont="1" applyFill="1" applyBorder="1"/>
    <xf numFmtId="2" fontId="11" fillId="2" borderId="4" xfId="11" applyNumberFormat="1" applyFont="1" applyFill="1" applyBorder="1"/>
    <xf numFmtId="2" fontId="0" fillId="2" borderId="0" xfId="0" applyNumberFormat="1" applyFill="1"/>
    <xf numFmtId="0" fontId="0" fillId="2" borderId="0" xfId="0" applyFill="1" applyAlignment="1">
      <alignment horizontal="center"/>
    </xf>
    <xf numFmtId="166" fontId="0" fillId="3" borderId="0" xfId="0" applyNumberFormat="1" applyFill="1"/>
    <xf numFmtId="0" fontId="0" fillId="2" borderId="18" xfId="0" applyFill="1" applyBorder="1"/>
    <xf numFmtId="0" fontId="0" fillId="2" borderId="19" xfId="0" applyFill="1" applyBorder="1"/>
    <xf numFmtId="0" fontId="0" fillId="2" borderId="5" xfId="0" applyFill="1" applyBorder="1"/>
    <xf numFmtId="2" fontId="0" fillId="2" borderId="16" xfId="0" applyNumberFormat="1" applyFill="1" applyBorder="1"/>
    <xf numFmtId="2" fontId="0" fillId="2" borderId="0" xfId="0" applyNumberFormat="1" applyFill="1" applyBorder="1"/>
    <xf numFmtId="0" fontId="0" fillId="2" borderId="17" xfId="0" applyFill="1" applyBorder="1"/>
    <xf numFmtId="0" fontId="0" fillId="2" borderId="16" xfId="0" applyFill="1" applyBorder="1"/>
    <xf numFmtId="0" fontId="0" fillId="2" borderId="0" xfId="0" applyFill="1" applyBorder="1"/>
    <xf numFmtId="2" fontId="0" fillId="2" borderId="20" xfId="0" applyNumberFormat="1" applyFill="1" applyBorder="1"/>
    <xf numFmtId="2" fontId="0" fillId="2" borderId="13" xfId="0" applyNumberFormat="1" applyFill="1" applyBorder="1"/>
    <xf numFmtId="0" fontId="0" fillId="2" borderId="21" xfId="0" applyFill="1" applyBorder="1"/>
    <xf numFmtId="0" fontId="0" fillId="2" borderId="13" xfId="0" applyFill="1" applyBorder="1"/>
    <xf numFmtId="0" fontId="0" fillId="2" borderId="13" xfId="0" applyFill="1" applyBorder="1" applyAlignment="1">
      <alignment horizontal="center"/>
    </xf>
    <xf numFmtId="167" fontId="0" fillId="2" borderId="0" xfId="0" applyNumberFormat="1" applyFill="1"/>
    <xf numFmtId="167" fontId="0" fillId="3" borderId="0" xfId="0" applyNumberFormat="1" applyFill="1"/>
    <xf numFmtId="0" fontId="6" fillId="2" borderId="0" xfId="9" applyFont="1" applyFill="1"/>
    <xf numFmtId="14" fontId="4" fillId="3" borderId="0" xfId="9" applyNumberFormat="1" applyFill="1"/>
    <xf numFmtId="0" fontId="4" fillId="2" borderId="0" xfId="9" applyFont="1" applyFill="1" applyAlignment="1">
      <alignment horizontal="right"/>
    </xf>
    <xf numFmtId="166" fontId="0" fillId="0" borderId="0" xfId="0" applyNumberFormat="1"/>
    <xf numFmtId="4" fontId="4" fillId="3" borderId="0" xfId="9" applyNumberFormat="1" applyFill="1"/>
    <xf numFmtId="10" fontId="4" fillId="3" borderId="0" xfId="9" applyNumberFormat="1" applyFill="1"/>
    <xf numFmtId="0" fontId="4" fillId="3" borderId="0" xfId="9" applyFill="1"/>
    <xf numFmtId="4" fontId="4" fillId="2" borderId="0" xfId="9" applyNumberFormat="1" applyFill="1"/>
    <xf numFmtId="10" fontId="4" fillId="2" borderId="0" xfId="9" applyNumberFormat="1" applyFont="1" applyFill="1"/>
    <xf numFmtId="4" fontId="6" fillId="2" borderId="0" xfId="9" applyNumberFormat="1" applyFont="1" applyFill="1"/>
    <xf numFmtId="10" fontId="4" fillId="2" borderId="0" xfId="9" applyNumberFormat="1" applyFill="1"/>
    <xf numFmtId="173" fontId="4" fillId="2" borderId="0" xfId="9" applyNumberFormat="1" applyFill="1"/>
    <xf numFmtId="14" fontId="4" fillId="2" borderId="13" xfId="9" applyNumberFormat="1" applyFill="1" applyBorder="1"/>
    <xf numFmtId="4" fontId="4" fillId="2" borderId="13" xfId="9" applyNumberFormat="1" applyFill="1" applyBorder="1"/>
    <xf numFmtId="0" fontId="0" fillId="2" borderId="6" xfId="0" applyFill="1" applyBorder="1"/>
    <xf numFmtId="0" fontId="0" fillId="2" borderId="12" xfId="0" applyFill="1" applyBorder="1"/>
    <xf numFmtId="9" fontId="0" fillId="3" borderId="12" xfId="0" applyNumberFormat="1" applyFill="1" applyBorder="1"/>
    <xf numFmtId="0" fontId="0" fillId="2" borderId="6" xfId="0" applyFill="1" applyBorder="1" applyAlignment="1">
      <alignment horizontal="center"/>
    </xf>
    <xf numFmtId="10" fontId="2" fillId="2" borderId="12" xfId="6" applyNumberFormat="1" applyFill="1" applyBorder="1"/>
    <xf numFmtId="14" fontId="0" fillId="3" borderId="0" xfId="0" applyNumberFormat="1" applyFill="1"/>
    <xf numFmtId="172" fontId="4" fillId="3" borderId="4" xfId="9" applyNumberFormat="1" applyFill="1" applyBorder="1"/>
    <xf numFmtId="9" fontId="4" fillId="3" borderId="4" xfId="9" applyNumberFormat="1" applyFill="1" applyBorder="1" applyAlignment="1"/>
    <xf numFmtId="174" fontId="4" fillId="2" borderId="4" xfId="6" applyNumberFormat="1" applyFont="1" applyFill="1" applyBorder="1"/>
    <xf numFmtId="14" fontId="5" fillId="2" borderId="4" xfId="9" applyNumberFormat="1" applyFont="1" applyFill="1" applyBorder="1" applyAlignment="1">
      <alignment horizontal="right" wrapText="1"/>
    </xf>
    <xf numFmtId="0" fontId="5" fillId="2" borderId="4" xfId="9" applyFont="1" applyFill="1" applyBorder="1" applyAlignment="1">
      <alignment horizontal="right" wrapText="1"/>
    </xf>
    <xf numFmtId="0" fontId="5" fillId="2" borderId="5" xfId="9" applyFont="1" applyFill="1" applyBorder="1" applyAlignment="1">
      <alignment horizontal="right" wrapText="1"/>
    </xf>
    <xf numFmtId="0" fontId="5" fillId="2" borderId="4" xfId="9" applyFont="1" applyFill="1" applyBorder="1" applyAlignment="1">
      <alignment horizontal="right"/>
    </xf>
    <xf numFmtId="0" fontId="5" fillId="2" borderId="4" xfId="9" applyFont="1" applyFill="1" applyBorder="1"/>
    <xf numFmtId="0" fontId="5" fillId="2" borderId="4" xfId="9" applyNumberFormat="1" applyFont="1" applyFill="1" applyBorder="1" applyAlignment="1">
      <alignment horizontal="right" wrapText="1"/>
    </xf>
    <xf numFmtId="170" fontId="5" fillId="2" borderId="4" xfId="9" applyNumberFormat="1" applyFont="1" applyFill="1" applyBorder="1"/>
    <xf numFmtId="166" fontId="5" fillId="2" borderId="4" xfId="9" applyNumberFormat="1" applyFont="1" applyFill="1" applyBorder="1"/>
    <xf numFmtId="0" fontId="4" fillId="2" borderId="1" xfId="9" applyFont="1" applyFill="1" applyBorder="1"/>
    <xf numFmtId="0" fontId="4" fillId="2" borderId="3" xfId="9" applyFont="1" applyFill="1" applyBorder="1"/>
    <xf numFmtId="181" fontId="4" fillId="3" borderId="4" xfId="6" applyNumberFormat="1" applyFont="1" applyFill="1" applyBorder="1"/>
    <xf numFmtId="10" fontId="4" fillId="3" borderId="0" xfId="9" applyNumberFormat="1" applyFont="1" applyFill="1"/>
    <xf numFmtId="174" fontId="4" fillId="3" borderId="4" xfId="9" applyNumberFormat="1" applyFill="1" applyBorder="1"/>
    <xf numFmtId="14" fontId="4" fillId="2" borderId="0" xfId="9" applyNumberFormat="1" applyFill="1"/>
    <xf numFmtId="14" fontId="4" fillId="3" borderId="4" xfId="9" applyNumberFormat="1" applyFont="1" applyFill="1" applyBorder="1"/>
    <xf numFmtId="0" fontId="6" fillId="2" borderId="4" xfId="9" applyFont="1" applyFill="1" applyBorder="1" applyAlignment="1">
      <alignment horizontal="center"/>
    </xf>
    <xf numFmtId="4" fontId="9" fillId="2" borderId="5" xfId="9" applyNumberFormat="1" applyFont="1" applyFill="1" applyBorder="1" applyAlignment="1">
      <alignment horizontal="right" wrapText="1"/>
    </xf>
    <xf numFmtId="0" fontId="9" fillId="2" borderId="2" xfId="9" applyFont="1" applyFill="1" applyBorder="1" applyAlignment="1">
      <alignment horizontal="right"/>
    </xf>
    <xf numFmtId="0" fontId="9" fillId="2" borderId="7" xfId="9" applyFont="1" applyFill="1" applyBorder="1" applyAlignment="1">
      <alignment horizontal="right" wrapText="1"/>
    </xf>
    <xf numFmtId="0" fontId="9" fillId="2" borderId="8" xfId="9" applyFont="1" applyFill="1" applyBorder="1" applyAlignment="1">
      <alignment horizontal="right" wrapText="1"/>
    </xf>
    <xf numFmtId="0" fontId="9" fillId="2" borderId="3" xfId="9" applyFont="1" applyFill="1" applyBorder="1" applyAlignment="1">
      <alignment horizontal="right" wrapText="1"/>
    </xf>
    <xf numFmtId="0" fontId="4" fillId="2" borderId="0" xfId="9" applyFill="1" applyAlignment="1">
      <alignment horizontal="center"/>
    </xf>
    <xf numFmtId="174" fontId="5" fillId="2" borderId="4" xfId="6" applyNumberFormat="1" applyFont="1" applyFill="1" applyBorder="1" applyAlignment="1">
      <alignment horizontal="right" wrapText="1"/>
    </xf>
    <xf numFmtId="179" fontId="5" fillId="2" borderId="5" xfId="9" applyNumberFormat="1" applyFont="1" applyFill="1" applyBorder="1" applyAlignment="1">
      <alignment horizontal="right" wrapText="1"/>
    </xf>
    <xf numFmtId="4" fontId="5" fillId="2" borderId="2" xfId="9" applyNumberFormat="1" applyFont="1" applyFill="1" applyBorder="1" applyAlignment="1">
      <alignment horizontal="right"/>
    </xf>
    <xf numFmtId="0" fontId="4" fillId="2" borderId="4" xfId="9" applyFill="1" applyBorder="1" applyAlignment="1">
      <alignment horizontal="center"/>
    </xf>
    <xf numFmtId="169" fontId="5" fillId="2" borderId="4" xfId="9" applyNumberFormat="1" applyFont="1" applyFill="1" applyBorder="1"/>
    <xf numFmtId="179" fontId="5" fillId="2" borderId="4" xfId="9" applyNumberFormat="1" applyFont="1" applyFill="1" applyBorder="1" applyAlignment="1">
      <alignment horizontal="right" wrapText="1"/>
    </xf>
    <xf numFmtId="177" fontId="5" fillId="2" borderId="4" xfId="9" applyNumberFormat="1" applyFont="1" applyFill="1" applyBorder="1"/>
    <xf numFmtId="4" fontId="4" fillId="0" borderId="0" xfId="9" applyNumberFormat="1"/>
    <xf numFmtId="166" fontId="8" fillId="2" borderId="0" xfId="6" applyNumberFormat="1" applyFont="1" applyFill="1"/>
    <xf numFmtId="10" fontId="0" fillId="2" borderId="0" xfId="0" applyNumberFormat="1" applyFill="1"/>
    <xf numFmtId="0" fontId="16" fillId="2" borderId="4" xfId="0" applyFont="1" applyFill="1" applyBorder="1" applyAlignment="1">
      <alignment horizontal="right"/>
    </xf>
    <xf numFmtId="0" fontId="16" fillId="2" borderId="4" xfId="0" applyNumberFormat="1" applyFont="1" applyFill="1" applyBorder="1" applyAlignment="1">
      <alignment horizontal="right" wrapText="1"/>
    </xf>
    <xf numFmtId="0" fontId="16" fillId="2" borderId="6" xfId="0" applyFont="1" applyFill="1" applyBorder="1" applyAlignment="1">
      <alignment horizontal="right"/>
    </xf>
    <xf numFmtId="0" fontId="16" fillId="2" borderId="4" xfId="0" applyFont="1" applyFill="1" applyBorder="1"/>
    <xf numFmtId="180" fontId="16" fillId="2" borderId="4" xfId="0" applyNumberFormat="1" applyFont="1" applyFill="1" applyBorder="1"/>
    <xf numFmtId="0" fontId="16" fillId="2" borderId="6" xfId="0" applyFont="1" applyFill="1" applyBorder="1"/>
    <xf numFmtId="0" fontId="0" fillId="2" borderId="4" xfId="0" applyFill="1" applyBorder="1" applyAlignment="1">
      <alignment horizontal="right"/>
    </xf>
    <xf numFmtId="180" fontId="0" fillId="2" borderId="2" xfId="0" applyNumberFormat="1" applyFill="1" applyBorder="1" applyAlignment="1"/>
    <xf numFmtId="180" fontId="0" fillId="2" borderId="4" xfId="0" applyNumberFormat="1" applyFill="1" applyBorder="1"/>
    <xf numFmtId="0" fontId="16" fillId="2" borderId="12" xfId="0" applyFont="1" applyFill="1" applyBorder="1"/>
    <xf numFmtId="0" fontId="16" fillId="2" borderId="12" xfId="0" applyFont="1" applyFill="1" applyBorder="1" applyAlignment="1">
      <alignment horizontal="right"/>
    </xf>
    <xf numFmtId="13" fontId="0" fillId="2" borderId="4" xfId="0" applyNumberFormat="1" applyFill="1" applyBorder="1" applyAlignment="1">
      <alignment horizontal="right"/>
    </xf>
    <xf numFmtId="180" fontId="11" fillId="2" borderId="2" xfId="0" applyNumberFormat="1" applyFont="1" applyFill="1" applyBorder="1" applyAlignment="1"/>
    <xf numFmtId="166" fontId="11" fillId="0" borderId="4" xfId="0" applyNumberFormat="1" applyFont="1" applyBorder="1"/>
    <xf numFmtId="177" fontId="0" fillId="2" borderId="4" xfId="0" applyNumberFormat="1" applyFill="1" applyBorder="1"/>
    <xf numFmtId="178" fontId="16" fillId="2" borderId="4" xfId="0" applyNumberFormat="1" applyFont="1" applyFill="1" applyBorder="1"/>
    <xf numFmtId="166" fontId="2" fillId="2" borderId="4" xfId="6" applyNumberFormat="1" applyFill="1" applyBorder="1"/>
    <xf numFmtId="176" fontId="0" fillId="2" borderId="4" xfId="0" applyNumberFormat="1" applyFill="1" applyBorder="1"/>
    <xf numFmtId="174" fontId="11" fillId="2" borderId="4" xfId="6" applyNumberFormat="1" applyFont="1" applyFill="1" applyBorder="1"/>
    <xf numFmtId="12" fontId="0" fillId="2" borderId="4" xfId="0" applyNumberFormat="1" applyFill="1" applyBorder="1" applyAlignment="1">
      <alignment horizontal="right"/>
    </xf>
    <xf numFmtId="166" fontId="0" fillId="0" borderId="4" xfId="0" applyNumberFormat="1" applyBorder="1"/>
    <xf numFmtId="0" fontId="11" fillId="2" borderId="4" xfId="0" applyFont="1" applyFill="1" applyBorder="1"/>
    <xf numFmtId="0" fontId="0" fillId="2" borderId="4" xfId="0" applyNumberFormat="1" applyFill="1" applyBorder="1"/>
    <xf numFmtId="180" fontId="11" fillId="2" borderId="4" xfId="0" applyNumberFormat="1" applyFont="1" applyFill="1" applyBorder="1"/>
    <xf numFmtId="4" fontId="16" fillId="2" borderId="0" xfId="0" applyNumberFormat="1" applyFont="1" applyFill="1"/>
    <xf numFmtId="2" fontId="16" fillId="2" borderId="0" xfId="0" applyNumberFormat="1" applyFont="1" applyFill="1"/>
    <xf numFmtId="9" fontId="0" fillId="2" borderId="0" xfId="0" applyNumberFormat="1" applyFill="1"/>
    <xf numFmtId="0" fontId="2" fillId="3" borderId="0" xfId="3" applyNumberFormat="1" applyFill="1" applyAlignment="1"/>
    <xf numFmtId="4" fontId="0" fillId="2" borderId="13" xfId="0" applyNumberFormat="1" applyFill="1" applyBorder="1"/>
    <xf numFmtId="4" fontId="0" fillId="2" borderId="0" xfId="0" applyNumberFormat="1" applyFill="1" applyAlignment="1">
      <alignment horizontal="right"/>
    </xf>
    <xf numFmtId="14" fontId="0" fillId="3" borderId="4" xfId="0" applyNumberFormat="1" applyFill="1" applyBorder="1"/>
    <xf numFmtId="14" fontId="3" fillId="2" borderId="0" xfId="7" applyNumberFormat="1" applyFill="1" applyBorder="1"/>
    <xf numFmtId="0" fontId="3" fillId="3" borderId="4" xfId="7" applyNumberFormat="1" applyFill="1" applyBorder="1"/>
    <xf numFmtId="175" fontId="0" fillId="2" borderId="4" xfId="0" applyNumberFormat="1" applyFill="1" applyBorder="1"/>
    <xf numFmtId="10" fontId="2" fillId="3" borderId="4" xfId="6" applyNumberFormat="1" applyFont="1" applyFill="1" applyBorder="1"/>
    <xf numFmtId="10" fontId="2" fillId="3" borderId="4" xfId="6" applyNumberFormat="1" applyFill="1" applyBorder="1"/>
    <xf numFmtId="0" fontId="2" fillId="2" borderId="4" xfId="6" applyNumberFormat="1" applyFill="1" applyBorder="1"/>
    <xf numFmtId="171" fontId="3" fillId="4" borderId="4" xfId="7" applyNumberFormat="1" applyFill="1" applyBorder="1"/>
    <xf numFmtId="165" fontId="11" fillId="2" borderId="4" xfId="11" applyNumberFormat="1" applyFont="1" applyFill="1" applyBorder="1"/>
    <xf numFmtId="14" fontId="0" fillId="0" borderId="0" xfId="0" applyNumberFormat="1"/>
    <xf numFmtId="0" fontId="0" fillId="2" borderId="2" xfId="0" applyFill="1" applyBorder="1"/>
    <xf numFmtId="0" fontId="0" fillId="2" borderId="3" xfId="0" applyFill="1" applyBorder="1"/>
    <xf numFmtId="0" fontId="0" fillId="2" borderId="4" xfId="0" applyFill="1" applyBorder="1" applyAlignment="1">
      <alignment wrapText="1"/>
    </xf>
    <xf numFmtId="0" fontId="0" fillId="2" borderId="2" xfId="0" applyFill="1" applyBorder="1" applyAlignment="1">
      <alignment wrapText="1"/>
    </xf>
    <xf numFmtId="0" fontId="0" fillId="2" borderId="3" xfId="0" applyFill="1" applyBorder="1" applyAlignment="1">
      <alignment wrapText="1"/>
    </xf>
    <xf numFmtId="2" fontId="0" fillId="3" borderId="4" xfId="0" applyNumberFormat="1" applyFill="1" applyBorder="1"/>
    <xf numFmtId="0" fontId="0" fillId="2" borderId="2" xfId="0" applyNumberFormat="1" applyFill="1" applyBorder="1"/>
    <xf numFmtId="0" fontId="0" fillId="2" borderId="3" xfId="0" applyFill="1" applyBorder="1" applyAlignment="1">
      <alignment horizontal="left"/>
    </xf>
    <xf numFmtId="2" fontId="0" fillId="2" borderId="2" xfId="0" applyNumberFormat="1" applyFill="1" applyBorder="1"/>
    <xf numFmtId="184" fontId="0" fillId="2" borderId="2" xfId="0" applyNumberFormat="1" applyFill="1" applyBorder="1"/>
    <xf numFmtId="186" fontId="0" fillId="2" borderId="3" xfId="0" applyNumberFormat="1" applyFill="1" applyBorder="1" applyAlignment="1">
      <alignment horizontal="left"/>
    </xf>
    <xf numFmtId="185" fontId="0" fillId="2" borderId="3" xfId="0" applyNumberFormat="1" applyFill="1" applyBorder="1" applyAlignment="1">
      <alignment horizontal="left"/>
    </xf>
    <xf numFmtId="168" fontId="0" fillId="2" borderId="4" xfId="0" applyNumberFormat="1" applyFill="1" applyBorder="1"/>
    <xf numFmtId="2" fontId="0" fillId="2" borderId="3" xfId="0" applyNumberFormat="1" applyFill="1" applyBorder="1" applyAlignment="1">
      <alignment horizontal="center"/>
    </xf>
    <xf numFmtId="186" fontId="0" fillId="2" borderId="0" xfId="0" applyNumberFormat="1" applyFill="1" applyAlignment="1">
      <alignment horizontal="center"/>
    </xf>
    <xf numFmtId="14" fontId="4" fillId="3" borderId="0" xfId="9" applyNumberFormat="1" applyFont="1" applyFill="1"/>
    <xf numFmtId="10" fontId="0" fillId="3" borderId="4" xfId="0" applyNumberFormat="1" applyFill="1" applyBorder="1"/>
    <xf numFmtId="166" fontId="0" fillId="3" borderId="4" xfId="0" applyNumberFormat="1" applyFill="1" applyBorder="1"/>
    <xf numFmtId="4" fontId="0" fillId="0" borderId="0" xfId="0" applyNumberFormat="1"/>
    <xf numFmtId="3" fontId="0" fillId="3" borderId="0" xfId="0" applyNumberFormat="1" applyFill="1"/>
    <xf numFmtId="0" fontId="11" fillId="2" borderId="2" xfId="0" applyFont="1" applyFill="1" applyBorder="1"/>
    <xf numFmtId="14" fontId="11" fillId="3" borderId="4" xfId="0" applyNumberFormat="1" applyFont="1" applyFill="1" applyBorder="1"/>
    <xf numFmtId="9" fontId="0" fillId="3" borderId="4" xfId="0" applyNumberFormat="1" applyFill="1" applyBorder="1"/>
    <xf numFmtId="0" fontId="0" fillId="2" borderId="20" xfId="0" applyFill="1" applyBorder="1"/>
    <xf numFmtId="0" fontId="11" fillId="3" borderId="4" xfId="0" applyNumberFormat="1" applyFont="1" applyFill="1" applyBorder="1"/>
    <xf numFmtId="0" fontId="3" fillId="2" borderId="4" xfId="7" applyFill="1" applyBorder="1"/>
    <xf numFmtId="0" fontId="5" fillId="2" borderId="0" xfId="0" applyFont="1" applyFill="1"/>
    <xf numFmtId="0" fontId="5" fillId="2" borderId="0" xfId="0" applyFont="1" applyFill="1" applyBorder="1"/>
    <xf numFmtId="0" fontId="9" fillId="2" borderId="4" xfId="0" applyFont="1" applyFill="1" applyBorder="1" applyAlignment="1">
      <alignment horizontal="right"/>
    </xf>
    <xf numFmtId="0" fontId="5" fillId="2" borderId="4" xfId="0" applyFont="1" applyFill="1" applyBorder="1"/>
    <xf numFmtId="14" fontId="5" fillId="2" borderId="4" xfId="7" applyNumberFormat="1" applyFont="1" applyFill="1" applyBorder="1"/>
    <xf numFmtId="0" fontId="5" fillId="2" borderId="12" xfId="0" applyFont="1" applyFill="1" applyBorder="1"/>
    <xf numFmtId="0" fontId="5" fillId="2" borderId="4" xfId="7" applyFont="1" applyFill="1" applyBorder="1"/>
    <xf numFmtId="4" fontId="5" fillId="2" borderId="4" xfId="0" applyNumberFormat="1" applyFont="1" applyFill="1" applyBorder="1"/>
    <xf numFmtId="0" fontId="9" fillId="2" borderId="3" xfId="0" applyFont="1" applyFill="1" applyBorder="1" applyAlignment="1">
      <alignment horizontal="right"/>
    </xf>
    <xf numFmtId="4" fontId="5" fillId="2" borderId="12" xfId="0" applyNumberFormat="1" applyFont="1" applyFill="1" applyBorder="1" applyAlignment="1">
      <alignment vertical="top"/>
    </xf>
    <xf numFmtId="171" fontId="5" fillId="2" borderId="12" xfId="0" applyNumberFormat="1" applyFont="1" applyFill="1" applyBorder="1"/>
    <xf numFmtId="2" fontId="11" fillId="2" borderId="4" xfId="0" applyNumberFormat="1" applyFont="1" applyFill="1" applyBorder="1"/>
    <xf numFmtId="0" fontId="11" fillId="3" borderId="0" xfId="0" applyFont="1" applyFill="1"/>
    <xf numFmtId="0" fontId="11" fillId="2" borderId="0" xfId="0" applyFont="1" applyFill="1" applyBorder="1"/>
    <xf numFmtId="2" fontId="11" fillId="2" borderId="0" xfId="11" applyNumberFormat="1" applyFont="1" applyFill="1" applyBorder="1"/>
    <xf numFmtId="14" fontId="11" fillId="2" borderId="0" xfId="0" applyNumberFormat="1" applyFont="1" applyFill="1"/>
    <xf numFmtId="168" fontId="11" fillId="2" borderId="4" xfId="11" applyNumberFormat="1" applyFont="1" applyFill="1" applyBorder="1"/>
    <xf numFmtId="2" fontId="11" fillId="2" borderId="0" xfId="0" applyNumberFormat="1" applyFont="1" applyFill="1" applyBorder="1"/>
    <xf numFmtId="0" fontId="6" fillId="2" borderId="4" xfId="9" applyFont="1" applyFill="1" applyBorder="1" applyAlignment="1">
      <alignment horizontal="right"/>
    </xf>
    <xf numFmtId="14" fontId="4" fillId="3" borderId="4" xfId="9" applyNumberFormat="1" applyFill="1" applyBorder="1"/>
    <xf numFmtId="2" fontId="0" fillId="2" borderId="4" xfId="0" applyNumberFormat="1" applyFill="1" applyBorder="1" applyAlignment="1">
      <alignment horizontal="right"/>
    </xf>
    <xf numFmtId="0" fontId="25" fillId="2" borderId="0" xfId="0" applyFont="1" applyFill="1"/>
    <xf numFmtId="0" fontId="26" fillId="2" borderId="0" xfId="0" applyFont="1" applyFill="1"/>
    <xf numFmtId="0" fontId="26" fillId="0" borderId="0" xfId="0" applyFont="1"/>
    <xf numFmtId="0" fontId="0" fillId="2" borderId="0" xfId="0" applyFill="1" applyBorder="1" applyAlignment="1">
      <alignment horizontal="right"/>
    </xf>
    <xf numFmtId="4" fontId="0" fillId="2" borderId="6" xfId="0" applyNumberFormat="1" applyFill="1" applyBorder="1"/>
    <xf numFmtId="2" fontId="16" fillId="2" borderId="4" xfId="0" applyNumberFormat="1" applyFont="1" applyFill="1" applyBorder="1"/>
    <xf numFmtId="0" fontId="0" fillId="2" borderId="2" xfId="0" applyFill="1" applyBorder="1" applyAlignment="1">
      <alignment horizontal="right" wrapText="1"/>
    </xf>
    <xf numFmtId="0" fontId="27" fillId="0" borderId="0" xfId="8"/>
    <xf numFmtId="0" fontId="27" fillId="3" borderId="0" xfId="8" applyFill="1"/>
    <xf numFmtId="188" fontId="27" fillId="3" borderId="0" xfId="8" applyNumberFormat="1" applyFill="1"/>
    <xf numFmtId="0" fontId="27" fillId="3" borderId="0" xfId="8" applyNumberFormat="1" applyFill="1"/>
    <xf numFmtId="0" fontId="28" fillId="2" borderId="0" xfId="8" applyFont="1" applyFill="1"/>
    <xf numFmtId="0" fontId="27" fillId="2" borderId="0" xfId="8" applyFill="1"/>
    <xf numFmtId="188" fontId="27" fillId="2" borderId="0" xfId="8" applyNumberFormat="1" applyFill="1"/>
    <xf numFmtId="0" fontId="27" fillId="2" borderId="0" xfId="8" applyFill="1" applyAlignment="1">
      <alignment horizontal="right"/>
    </xf>
    <xf numFmtId="0" fontId="27" fillId="2" borderId="0" xfId="8" applyNumberFormat="1" applyFill="1"/>
    <xf numFmtId="166" fontId="0" fillId="2" borderId="0" xfId="0" applyNumberFormat="1" applyFill="1"/>
    <xf numFmtId="187" fontId="0" fillId="3" borderId="4" xfId="0" applyNumberFormat="1" applyFill="1" applyBorder="1"/>
    <xf numFmtId="4" fontId="0" fillId="2" borderId="4" xfId="0" applyNumberFormat="1" applyFill="1" applyBorder="1" applyAlignment="1">
      <alignment horizontal="right"/>
    </xf>
    <xf numFmtId="4" fontId="0" fillId="2" borderId="2" xfId="0" applyNumberFormat="1" applyFill="1" applyBorder="1" applyAlignment="1">
      <alignment horizontal="right"/>
    </xf>
    <xf numFmtId="4" fontId="0" fillId="2" borderId="0" xfId="0" applyNumberFormat="1" applyFill="1" applyBorder="1" applyAlignment="1">
      <alignment horizontal="right"/>
    </xf>
    <xf numFmtId="4" fontId="0" fillId="2" borderId="2" xfId="0" applyNumberFormat="1" applyFill="1" applyBorder="1"/>
    <xf numFmtId="0" fontId="0" fillId="3" borderId="0" xfId="0" applyFill="1" applyAlignment="1">
      <alignment horizontal="left"/>
    </xf>
    <xf numFmtId="2" fontId="0" fillId="2" borderId="0" xfId="1" applyNumberFormat="1" applyFont="1" applyFill="1" applyAlignment="1">
      <alignment horizontal="right"/>
    </xf>
    <xf numFmtId="4" fontId="30" fillId="2" borderId="0" xfId="7" applyNumberFormat="1" applyFont="1" applyFill="1"/>
    <xf numFmtId="4" fontId="30" fillId="2" borderId="0" xfId="7" applyNumberFormat="1" applyFont="1" applyFill="1" applyAlignment="1">
      <alignment horizontal="right"/>
    </xf>
    <xf numFmtId="14" fontId="3" fillId="2" borderId="4" xfId="7" applyNumberFormat="1" applyFill="1" applyBorder="1" applyAlignment="1">
      <alignment horizontal="right"/>
    </xf>
    <xf numFmtId="4" fontId="3" fillId="2" borderId="4" xfId="7" applyNumberFormat="1" applyFill="1" applyBorder="1" applyAlignment="1">
      <alignment horizontal="right"/>
    </xf>
    <xf numFmtId="2" fontId="3" fillId="2" borderId="4" xfId="7" applyNumberFormat="1" applyFill="1" applyBorder="1" applyAlignment="1">
      <alignment horizontal="right"/>
    </xf>
    <xf numFmtId="0" fontId="3" fillId="2" borderId="0" xfId="7" applyNumberFormat="1" applyFont="1" applyFill="1" applyAlignment="1">
      <alignment horizontal="right"/>
    </xf>
    <xf numFmtId="0" fontId="3" fillId="2" borderId="0" xfId="7" applyFill="1" applyAlignment="1">
      <alignment horizontal="right"/>
    </xf>
    <xf numFmtId="0" fontId="0" fillId="0" borderId="0" xfId="0" applyAlignment="1">
      <alignment horizontal="right"/>
    </xf>
    <xf numFmtId="0" fontId="3" fillId="2" borderId="0" xfId="7" applyFill="1" applyAlignment="1">
      <alignment horizontal="left"/>
    </xf>
    <xf numFmtId="43" fontId="3" fillId="2" borderId="4" xfId="2" applyNumberFormat="1" applyFont="1" applyFill="1" applyBorder="1" applyAlignment="1"/>
    <xf numFmtId="14" fontId="2" fillId="3" borderId="0" xfId="1" applyNumberFormat="1" applyFont="1" applyFill="1"/>
    <xf numFmtId="0" fontId="31" fillId="2" borderId="0" xfId="7" applyFont="1" applyFill="1"/>
    <xf numFmtId="2" fontId="16" fillId="2" borderId="0" xfId="0" applyNumberFormat="1" applyFont="1" applyFill="1" applyAlignment="1">
      <alignment horizontal="right"/>
    </xf>
    <xf numFmtId="14" fontId="3" fillId="3" borderId="4" xfId="7" applyNumberFormat="1" applyFont="1" applyFill="1" applyBorder="1"/>
    <xf numFmtId="0" fontId="0" fillId="2" borderId="18" xfId="0" applyFill="1" applyBorder="1" applyAlignment="1"/>
    <xf numFmtId="0" fontId="0" fillId="2" borderId="16" xfId="0" applyFill="1" applyBorder="1" applyAlignment="1"/>
    <xf numFmtId="0" fontId="32" fillId="2" borderId="16" xfId="0" applyFont="1" applyFill="1" applyBorder="1"/>
    <xf numFmtId="0" fontId="0" fillId="2" borderId="17" xfId="0" applyNumberFormat="1" applyFill="1" applyBorder="1" applyAlignment="1"/>
    <xf numFmtId="0" fontId="32" fillId="2" borderId="20" xfId="0" applyFont="1" applyFill="1" applyBorder="1"/>
    <xf numFmtId="2" fontId="4" fillId="2" borderId="0" xfId="9" applyNumberFormat="1" applyFill="1"/>
    <xf numFmtId="175" fontId="12" fillId="2" borderId="4" xfId="9" applyNumberFormat="1" applyFont="1" applyFill="1" applyBorder="1" applyAlignment="1">
      <alignment horizontal="right" wrapText="1"/>
    </xf>
    <xf numFmtId="166" fontId="12" fillId="2" borderId="0" xfId="6" applyNumberFormat="1" applyFont="1" applyFill="1"/>
    <xf numFmtId="4" fontId="12" fillId="2" borderId="0" xfId="9" applyNumberFormat="1" applyFont="1" applyFill="1"/>
    <xf numFmtId="4" fontId="8" fillId="2" borderId="0" xfId="9" applyNumberFormat="1" applyFont="1" applyFill="1"/>
    <xf numFmtId="0" fontId="0" fillId="5" borderId="0" xfId="0" applyFill="1"/>
    <xf numFmtId="0" fontId="0" fillId="0" borderId="16" xfId="0" applyBorder="1"/>
    <xf numFmtId="0" fontId="0" fillId="6" borderId="4" xfId="0" applyFill="1" applyBorder="1"/>
    <xf numFmtId="0" fontId="34" fillId="5" borderId="0" xfId="0" applyFont="1" applyFill="1" applyAlignment="1">
      <alignment horizontal="center"/>
    </xf>
    <xf numFmtId="0" fontId="0" fillId="3" borderId="13" xfId="0" applyFill="1" applyBorder="1" applyAlignment="1">
      <alignment horizontal="center"/>
    </xf>
    <xf numFmtId="0" fontId="0" fillId="3" borderId="21" xfId="0" applyFill="1" applyBorder="1" applyAlignment="1">
      <alignment horizontal="center"/>
    </xf>
    <xf numFmtId="2" fontId="0" fillId="0" borderId="16" xfId="0" applyNumberFormat="1" applyBorder="1"/>
    <xf numFmtId="0" fontId="34" fillId="0" borderId="0" xfId="0" applyFont="1" applyAlignment="1">
      <alignment horizontal="center"/>
    </xf>
    <xf numFmtId="0" fontId="0" fillId="7" borderId="4" xfId="0" applyFill="1" applyBorder="1"/>
    <xf numFmtId="0" fontId="37" fillId="2" borderId="4" xfId="0" applyFont="1" applyFill="1" applyBorder="1" applyAlignment="1">
      <alignment horizontal="center"/>
    </xf>
    <xf numFmtId="0" fontId="11" fillId="2" borderId="4" xfId="0" applyFont="1" applyFill="1" applyBorder="1" applyAlignment="1">
      <alignment horizontal="center"/>
    </xf>
    <xf numFmtId="0" fontId="11" fillId="2" borderId="20" xfId="0" applyFont="1" applyFill="1" applyBorder="1" applyAlignment="1">
      <alignment horizontal="center"/>
    </xf>
    <xf numFmtId="0" fontId="0" fillId="2" borderId="1" xfId="0" applyFill="1" applyBorder="1" applyAlignment="1">
      <alignment horizontal="center"/>
    </xf>
    <xf numFmtId="0" fontId="0" fillId="2" borderId="3" xfId="0" applyFill="1" applyBorder="1" applyAlignment="1">
      <alignment horizontal="center"/>
    </xf>
    <xf numFmtId="2" fontId="16" fillId="2" borderId="0" xfId="0" applyNumberFormat="1" applyFont="1" applyFill="1" applyAlignment="1">
      <alignment horizontal="center"/>
    </xf>
    <xf numFmtId="0" fontId="11" fillId="2" borderId="0" xfId="0" applyFont="1" applyFill="1" applyAlignment="1">
      <alignment horizontal="left"/>
    </xf>
    <xf numFmtId="0" fontId="34" fillId="2" borderId="0" xfId="0" applyFont="1" applyFill="1" applyAlignment="1">
      <alignment horizontal="center"/>
    </xf>
    <xf numFmtId="0" fontId="36" fillId="2" borderId="0" xfId="0" applyFont="1" applyFill="1" applyAlignment="1">
      <alignment horizontal="center"/>
    </xf>
    <xf numFmtId="0" fontId="34" fillId="2" borderId="2" xfId="0" applyFont="1" applyFill="1" applyBorder="1" applyAlignment="1">
      <alignment horizontal="center"/>
    </xf>
    <xf numFmtId="0" fontId="34" fillId="2" borderId="20" xfId="0" applyFont="1" applyFill="1" applyBorder="1" applyAlignment="1">
      <alignment horizontal="center"/>
    </xf>
    <xf numFmtId="0" fontId="16" fillId="2" borderId="0" xfId="0" applyFont="1" applyFill="1" applyAlignment="1">
      <alignment horizontal="center"/>
    </xf>
    <xf numFmtId="0" fontId="34" fillId="2" borderId="18" xfId="0" applyFont="1" applyFill="1" applyBorder="1" applyAlignment="1">
      <alignment horizontal="center"/>
    </xf>
    <xf numFmtId="0" fontId="34" fillId="2" borderId="16" xfId="0" applyFont="1" applyFill="1" applyBorder="1" applyAlignment="1">
      <alignment horizontal="center"/>
    </xf>
    <xf numFmtId="0" fontId="36" fillId="2" borderId="5" xfId="0" applyFont="1" applyFill="1" applyBorder="1" applyAlignment="1">
      <alignment horizontal="right"/>
    </xf>
    <xf numFmtId="2" fontId="0" fillId="2" borderId="1" xfId="0" applyNumberFormat="1" applyFill="1" applyBorder="1" applyAlignment="1">
      <alignment horizontal="center"/>
    </xf>
    <xf numFmtId="2" fontId="0" fillId="2" borderId="1" xfId="0" applyNumberFormat="1" applyFill="1" applyBorder="1"/>
    <xf numFmtId="0" fontId="36" fillId="2" borderId="17" xfId="0" applyFont="1" applyFill="1" applyBorder="1" applyAlignment="1">
      <alignment horizontal="right"/>
    </xf>
    <xf numFmtId="16" fontId="36" fillId="2" borderId="17" xfId="0" applyNumberFormat="1" applyFont="1" applyFill="1" applyBorder="1" applyAlignment="1">
      <alignment horizontal="right"/>
    </xf>
    <xf numFmtId="0" fontId="36" fillId="2" borderId="21" xfId="0" applyFont="1" applyFill="1" applyBorder="1" applyAlignment="1">
      <alignment horizontal="right"/>
    </xf>
    <xf numFmtId="0" fontId="36" fillId="2" borderId="0" xfId="0" applyFont="1" applyFill="1" applyAlignment="1">
      <alignment horizontal="right"/>
    </xf>
    <xf numFmtId="16" fontId="36" fillId="2" borderId="5" xfId="0" applyNumberFormat="1" applyFont="1" applyFill="1" applyBorder="1" applyAlignment="1">
      <alignment horizontal="right"/>
    </xf>
    <xf numFmtId="16" fontId="36" fillId="2" borderId="21" xfId="0" applyNumberFormat="1" applyFont="1" applyFill="1" applyBorder="1" applyAlignment="1">
      <alignment horizontal="right"/>
    </xf>
    <xf numFmtId="2" fontId="0" fillId="2" borderId="13" xfId="0" applyNumberFormat="1" applyFill="1" applyBorder="1" applyAlignment="1">
      <alignment horizontal="center"/>
    </xf>
    <xf numFmtId="2" fontId="0" fillId="2" borderId="21" xfId="0" applyNumberFormat="1" applyFill="1" applyBorder="1" applyAlignment="1">
      <alignment horizontal="center"/>
    </xf>
    <xf numFmtId="0" fontId="0" fillId="8" borderId="4" xfId="0" applyFill="1" applyBorder="1"/>
    <xf numFmtId="2" fontId="0" fillId="8" borderId="4" xfId="0" applyNumberFormat="1" applyFill="1" applyBorder="1"/>
    <xf numFmtId="0" fontId="34" fillId="2" borderId="4" xfId="0" applyFont="1" applyFill="1" applyBorder="1" applyAlignment="1">
      <alignment horizontal="center"/>
    </xf>
    <xf numFmtId="0" fontId="35" fillId="2" borderId="4" xfId="0" applyFont="1" applyFill="1" applyBorder="1" applyAlignment="1">
      <alignment horizontal="center"/>
    </xf>
    <xf numFmtId="177" fontId="0" fillId="2" borderId="0" xfId="0" applyNumberFormat="1" applyFill="1"/>
    <xf numFmtId="189" fontId="0" fillId="2" borderId="0" xfId="0" applyNumberFormat="1" applyFill="1"/>
    <xf numFmtId="170" fontId="0" fillId="3" borderId="0" xfId="0" applyNumberFormat="1" applyFill="1"/>
    <xf numFmtId="190" fontId="0" fillId="0" borderId="0" xfId="0" applyNumberFormat="1"/>
    <xf numFmtId="172" fontId="0" fillId="0" borderId="0" xfId="6" applyNumberFormat="1" applyFont="1"/>
    <xf numFmtId="0" fontId="5" fillId="9" borderId="0" xfId="0" applyFont="1" applyFill="1"/>
    <xf numFmtId="0" fontId="5" fillId="9" borderId="4" xfId="0" applyFont="1" applyFill="1" applyBorder="1"/>
    <xf numFmtId="0" fontId="5" fillId="9" borderId="4" xfId="0" applyFont="1" applyFill="1" applyBorder="1" applyAlignment="1">
      <alignment horizontal="right"/>
    </xf>
    <xf numFmtId="167" fontId="16" fillId="2" borderId="4" xfId="0" applyNumberFormat="1" applyFont="1" applyFill="1" applyBorder="1" applyAlignment="1">
      <alignment horizontal="center"/>
    </xf>
    <xf numFmtId="0" fontId="0" fillId="2" borderId="4" xfId="0" applyFill="1" applyBorder="1" applyAlignment="1">
      <alignment horizontal="center"/>
    </xf>
    <xf numFmtId="0" fontId="0" fillId="2" borderId="22" xfId="0" applyFill="1" applyBorder="1" applyAlignment="1">
      <alignment horizontal="center"/>
    </xf>
    <xf numFmtId="2" fontId="16" fillId="2" borderId="4" xfId="0" applyNumberFormat="1" applyFont="1" applyFill="1" applyBorder="1" applyAlignment="1">
      <alignment horizontal="center"/>
    </xf>
    <xf numFmtId="167" fontId="0" fillId="2" borderId="4" xfId="0" applyNumberFormat="1" applyFill="1" applyBorder="1" applyAlignment="1">
      <alignment horizontal="center"/>
    </xf>
    <xf numFmtId="0" fontId="0" fillId="2" borderId="22" xfId="0" applyFill="1" applyBorder="1"/>
    <xf numFmtId="0" fontId="16" fillId="2" borderId="0" xfId="0" applyFont="1" applyFill="1" applyAlignment="1">
      <alignment horizontal="right"/>
    </xf>
    <xf numFmtId="0" fontId="16" fillId="2" borderId="4" xfId="0" applyFont="1" applyFill="1" applyBorder="1" applyAlignment="1">
      <alignment horizontal="center"/>
    </xf>
    <xf numFmtId="0" fontId="11" fillId="2" borderId="6" xfId="0" applyFont="1" applyFill="1" applyBorder="1"/>
    <xf numFmtId="0" fontId="11" fillId="2" borderId="12" xfId="0" applyFont="1" applyFill="1" applyBorder="1"/>
    <xf numFmtId="0" fontId="11" fillId="2" borderId="19" xfId="0" applyFont="1" applyFill="1" applyBorder="1"/>
    <xf numFmtId="0" fontId="11" fillId="2" borderId="13" xfId="0" applyFont="1" applyFill="1" applyBorder="1"/>
    <xf numFmtId="0" fontId="11" fillId="2" borderId="21" xfId="0" applyFont="1" applyFill="1" applyBorder="1"/>
    <xf numFmtId="0" fontId="11" fillId="2" borderId="5" xfId="0" applyFont="1" applyFill="1" applyBorder="1"/>
    <xf numFmtId="0" fontId="16" fillId="2" borderId="4" xfId="0" applyFont="1" applyFill="1" applyBorder="1" applyAlignment="1">
      <alignment horizontal="right" wrapText="1"/>
    </xf>
    <xf numFmtId="177" fontId="5" fillId="2" borderId="4" xfId="0" applyNumberFormat="1" applyFont="1" applyFill="1" applyBorder="1"/>
    <xf numFmtId="167" fontId="5" fillId="3" borderId="4" xfId="0" applyNumberFormat="1" applyFont="1" applyFill="1" applyBorder="1"/>
    <xf numFmtId="4" fontId="5" fillId="0" borderId="0" xfId="0" applyNumberFormat="1" applyFont="1"/>
    <xf numFmtId="9" fontId="5" fillId="3" borderId="0" xfId="0" applyNumberFormat="1" applyFont="1" applyFill="1"/>
    <xf numFmtId="0" fontId="41" fillId="0" borderId="0" xfId="0" applyFont="1"/>
    <xf numFmtId="44" fontId="41" fillId="3" borderId="4" xfId="4" applyFont="1" applyFill="1" applyBorder="1"/>
    <xf numFmtId="13" fontId="41" fillId="3" borderId="4" xfId="0" applyNumberFormat="1" applyFont="1" applyFill="1" applyBorder="1"/>
    <xf numFmtId="0" fontId="41" fillId="3" borderId="4" xfId="0" applyFont="1" applyFill="1" applyBorder="1"/>
    <xf numFmtId="44" fontId="41" fillId="0" borderId="0" xfId="4" applyFont="1"/>
    <xf numFmtId="0" fontId="9" fillId="2" borderId="18" xfId="0" applyFont="1" applyFill="1" applyBorder="1" applyAlignment="1">
      <alignment horizontal="right"/>
    </xf>
    <xf numFmtId="175" fontId="5" fillId="2" borderId="2" xfId="7" applyNumberFormat="1" applyFont="1" applyFill="1" applyBorder="1"/>
    <xf numFmtId="189" fontId="5" fillId="2" borderId="21" xfId="0" applyNumberFormat="1" applyFont="1" applyFill="1" applyBorder="1"/>
    <xf numFmtId="171" fontId="5" fillId="2" borderId="21" xfId="0" applyNumberFormat="1" applyFont="1" applyFill="1" applyBorder="1"/>
    <xf numFmtId="193" fontId="5" fillId="2" borderId="4" xfId="0" applyNumberFormat="1" applyFont="1" applyFill="1" applyBorder="1" applyAlignment="1">
      <alignment horizontal="right" wrapText="1"/>
    </xf>
    <xf numFmtId="193" fontId="5" fillId="3" borderId="4" xfId="0" applyNumberFormat="1" applyFont="1" applyFill="1" applyBorder="1" applyAlignment="1">
      <alignment horizontal="right" wrapText="1"/>
    </xf>
    <xf numFmtId="4" fontId="5" fillId="0" borderId="4" xfId="0" applyNumberFormat="1" applyFont="1" applyBorder="1"/>
    <xf numFmtId="9" fontId="5" fillId="3" borderId="4" xfId="0" applyNumberFormat="1" applyFont="1" applyFill="1" applyBorder="1"/>
    <xf numFmtId="177" fontId="5" fillId="3" borderId="12" xfId="9" applyNumberFormat="1" applyFont="1" applyFill="1" applyBorder="1" applyAlignment="1">
      <alignment horizontal="right" wrapText="1"/>
    </xf>
    <xf numFmtId="177" fontId="5" fillId="3" borderId="4" xfId="9" applyNumberFormat="1" applyFont="1" applyFill="1" applyBorder="1" applyAlignment="1">
      <alignment horizontal="right" wrapText="1"/>
    </xf>
    <xf numFmtId="0" fontId="16" fillId="10" borderId="0" xfId="0" applyFont="1" applyFill="1"/>
    <xf numFmtId="0" fontId="0" fillId="10" borderId="0" xfId="0" applyFill="1"/>
    <xf numFmtId="0" fontId="0" fillId="10" borderId="0" xfId="0" applyFill="1" applyAlignment="1">
      <alignment horizontal="right"/>
    </xf>
    <xf numFmtId="170" fontId="0" fillId="10" borderId="0" xfId="0" applyNumberFormat="1" applyFill="1"/>
    <xf numFmtId="2" fontId="16" fillId="10" borderId="0" xfId="0" applyNumberFormat="1" applyFont="1" applyFill="1"/>
    <xf numFmtId="2" fontId="11" fillId="3" borderId="4" xfId="0" applyNumberFormat="1" applyFont="1" applyFill="1" applyBorder="1" applyAlignment="1">
      <alignment horizontal="center"/>
    </xf>
    <xf numFmtId="0" fontId="0" fillId="0" borderId="0" xfId="0" applyAlignment="1">
      <alignment vertical="center"/>
    </xf>
    <xf numFmtId="0" fontId="41" fillId="2" borderId="0" xfId="0" applyFont="1" applyFill="1"/>
    <xf numFmtId="0" fontId="41" fillId="2" borderId="0" xfId="0" applyNumberFormat="1" applyFont="1" applyFill="1"/>
    <xf numFmtId="189" fontId="41" fillId="2" borderId="0" xfId="0" applyNumberFormat="1" applyFont="1" applyFill="1"/>
    <xf numFmtId="171" fontId="41" fillId="2" borderId="0" xfId="0" applyNumberFormat="1" applyFont="1" applyFill="1"/>
    <xf numFmtId="0" fontId="42" fillId="2" borderId="4" xfId="0" applyFont="1" applyFill="1" applyBorder="1"/>
    <xf numFmtId="44" fontId="42" fillId="2" borderId="4" xfId="4" applyFont="1" applyFill="1" applyBorder="1"/>
    <xf numFmtId="44" fontId="41" fillId="2" borderId="4" xfId="4" applyFont="1" applyFill="1" applyBorder="1"/>
    <xf numFmtId="44" fontId="41" fillId="2" borderId="0" xfId="4" applyFont="1" applyFill="1" applyBorder="1"/>
    <xf numFmtId="44" fontId="41" fillId="2" borderId="0" xfId="4" applyFont="1" applyFill="1"/>
    <xf numFmtId="0" fontId="41" fillId="2" borderId="0" xfId="4" applyNumberFormat="1" applyFont="1" applyFill="1"/>
    <xf numFmtId="0" fontId="40" fillId="2" borderId="0" xfId="0" applyFont="1" applyFill="1"/>
    <xf numFmtId="0" fontId="42" fillId="2" borderId="13" xfId="0" applyFont="1" applyFill="1" applyBorder="1"/>
    <xf numFmtId="0" fontId="41" fillId="2" borderId="1" xfId="0" applyFont="1" applyFill="1" applyBorder="1"/>
    <xf numFmtId="0" fontId="41" fillId="2" borderId="4" xfId="0" applyFont="1" applyFill="1" applyBorder="1"/>
    <xf numFmtId="14" fontId="41" fillId="2" borderId="0" xfId="4" applyNumberFormat="1" applyFont="1" applyFill="1"/>
    <xf numFmtId="0" fontId="42" fillId="2" borderId="4" xfId="0" applyFont="1" applyFill="1" applyBorder="1" applyAlignment="1">
      <alignment horizontal="center"/>
    </xf>
    <xf numFmtId="44" fontId="42" fillId="2" borderId="4" xfId="4" applyFont="1" applyFill="1" applyBorder="1" applyAlignment="1">
      <alignment horizontal="center"/>
    </xf>
    <xf numFmtId="0" fontId="40" fillId="2" borderId="13" xfId="0" applyFont="1" applyFill="1" applyBorder="1"/>
    <xf numFmtId="0" fontId="41" fillId="2" borderId="4" xfId="0" applyFont="1" applyFill="1" applyBorder="1" applyAlignment="1">
      <alignment horizontal="center"/>
    </xf>
    <xf numFmtId="44" fontId="41" fillId="2" borderId="4" xfId="4" applyFont="1" applyFill="1" applyBorder="1" applyAlignment="1">
      <alignment horizontal="center"/>
    </xf>
    <xf numFmtId="0" fontId="5" fillId="9" borderId="4" xfId="0" applyFont="1" applyFill="1" applyBorder="1" applyAlignment="1">
      <alignment horizontal="right" wrapText="1"/>
    </xf>
    <xf numFmtId="0" fontId="5" fillId="9" borderId="4" xfId="0" applyFont="1" applyFill="1" applyBorder="1" applyAlignment="1">
      <alignment wrapText="1"/>
    </xf>
    <xf numFmtId="0" fontId="38" fillId="9" borderId="4" xfId="0" applyFont="1" applyFill="1" applyBorder="1" applyAlignment="1">
      <alignment horizontal="right" vertical="center"/>
    </xf>
    <xf numFmtId="0" fontId="5" fillId="9" borderId="0" xfId="0" applyFont="1" applyFill="1" applyAlignment="1">
      <alignment vertical="center"/>
    </xf>
    <xf numFmtId="166" fontId="5" fillId="9" borderId="4" xfId="6" applyNumberFormat="1" applyFont="1" applyFill="1" applyBorder="1"/>
    <xf numFmtId="178" fontId="5" fillId="9" borderId="4" xfId="0" applyNumberFormat="1" applyFont="1" applyFill="1" applyBorder="1"/>
    <xf numFmtId="176" fontId="5" fillId="9" borderId="4" xfId="0" applyNumberFormat="1" applyFont="1" applyFill="1" applyBorder="1"/>
    <xf numFmtId="4" fontId="5" fillId="9" borderId="4" xfId="0" applyNumberFormat="1" applyFont="1" applyFill="1" applyBorder="1"/>
    <xf numFmtId="4" fontId="5" fillId="9" borderId="0" xfId="0" applyNumberFormat="1" applyFont="1" applyFill="1"/>
    <xf numFmtId="0" fontId="9" fillId="9" borderId="0" xfId="0" applyFont="1" applyFill="1"/>
    <xf numFmtId="0" fontId="5" fillId="9" borderId="2" xfId="0" applyFont="1" applyFill="1" applyBorder="1" applyAlignment="1">
      <alignment horizontal="left"/>
    </xf>
    <xf numFmtId="0" fontId="5" fillId="9" borderId="3" xfId="0" applyFont="1" applyFill="1" applyBorder="1" applyAlignment="1">
      <alignment horizontal="left"/>
    </xf>
    <xf numFmtId="0" fontId="5" fillId="9" borderId="4" xfId="0" applyFont="1" applyFill="1" applyBorder="1" applyAlignment="1">
      <alignment horizontal="right" vertical="center"/>
    </xf>
    <xf numFmtId="0" fontId="5" fillId="9" borderId="4" xfId="0" applyNumberFormat="1" applyFont="1" applyFill="1" applyBorder="1"/>
    <xf numFmtId="167" fontId="5" fillId="9" borderId="4" xfId="0" applyNumberFormat="1" applyFont="1" applyFill="1" applyBorder="1"/>
    <xf numFmtId="0" fontId="5" fillId="9" borderId="0" xfId="0" applyFont="1" applyFill="1" applyAlignment="1">
      <alignment horizontal="right"/>
    </xf>
    <xf numFmtId="0" fontId="5" fillId="9" borderId="0" xfId="0" applyFont="1" applyFill="1" applyAlignment="1">
      <alignment horizontal="left"/>
    </xf>
    <xf numFmtId="0" fontId="5" fillId="9" borderId="0" xfId="0" applyNumberFormat="1" applyFont="1" applyFill="1"/>
    <xf numFmtId="0" fontId="0" fillId="2" borderId="0" xfId="0" applyNumberFormat="1" applyFill="1" applyAlignment="1">
      <alignment horizontal="left"/>
    </xf>
    <xf numFmtId="167" fontId="0" fillId="2" borderId="21" xfId="0" applyNumberFormat="1" applyFill="1" applyBorder="1" applyAlignment="1"/>
    <xf numFmtId="0" fontId="16" fillId="2" borderId="0" xfId="0" applyNumberFormat="1" applyFont="1" applyFill="1"/>
    <xf numFmtId="0" fontId="4" fillId="0" borderId="0" xfId="9" applyBorder="1"/>
    <xf numFmtId="166" fontId="4" fillId="3" borderId="0" xfId="9" applyNumberFormat="1" applyFill="1" applyBorder="1"/>
    <xf numFmtId="0" fontId="4" fillId="0" borderId="0" xfId="9" applyFont="1" applyBorder="1"/>
    <xf numFmtId="166" fontId="4" fillId="0" borderId="0" xfId="6" applyNumberFormat="1" applyFont="1" applyBorder="1"/>
    <xf numFmtId="166" fontId="11" fillId="3" borderId="4" xfId="0" applyNumberFormat="1" applyFont="1" applyFill="1" applyBorder="1"/>
    <xf numFmtId="0" fontId="42" fillId="2" borderId="4" xfId="4" applyNumberFormat="1" applyFont="1" applyFill="1" applyBorder="1"/>
    <xf numFmtId="0" fontId="17" fillId="2" borderId="0" xfId="12" applyFont="1" applyFill="1" applyAlignment="1">
      <alignment horizontal="center"/>
    </xf>
    <xf numFmtId="0" fontId="3" fillId="2" borderId="0" xfId="12" applyFill="1"/>
    <xf numFmtId="0" fontId="3" fillId="0" borderId="0" xfId="12"/>
    <xf numFmtId="0" fontId="3" fillId="2" borderId="6" xfId="12" applyFill="1" applyBorder="1"/>
    <xf numFmtId="0" fontId="44" fillId="2" borderId="11" xfId="12" applyFont="1" applyFill="1" applyBorder="1" applyAlignment="1">
      <alignment horizontal="center"/>
    </xf>
    <xf numFmtId="0" fontId="3" fillId="2" borderId="12" xfId="12" applyFill="1" applyBorder="1"/>
    <xf numFmtId="0" fontId="18" fillId="2" borderId="0" xfId="12" applyFont="1" applyFill="1" applyBorder="1" applyAlignment="1">
      <alignment horizontal="left"/>
    </xf>
    <xf numFmtId="0" fontId="18" fillId="2" borderId="0" xfId="12" applyFont="1" applyFill="1"/>
    <xf numFmtId="0" fontId="40" fillId="0" borderId="0" xfId="0" applyFont="1"/>
    <xf numFmtId="192" fontId="41" fillId="2" borderId="4" xfId="4" applyNumberFormat="1" applyFont="1" applyFill="1" applyBorder="1"/>
    <xf numFmtId="172" fontId="41" fillId="2" borderId="4" xfId="6" applyNumberFormat="1" applyFont="1" applyFill="1" applyBorder="1"/>
    <xf numFmtId="170" fontId="41" fillId="2" borderId="4" xfId="6" applyNumberFormat="1" applyFont="1" applyFill="1" applyBorder="1"/>
    <xf numFmtId="0" fontId="41" fillId="2" borderId="4" xfId="4" applyNumberFormat="1" applyFont="1" applyFill="1" applyBorder="1"/>
    <xf numFmtId="0" fontId="41" fillId="2" borderId="4" xfId="0" applyNumberFormat="1" applyFont="1" applyFill="1" applyBorder="1"/>
    <xf numFmtId="191" fontId="41" fillId="2" borderId="4" xfId="0" applyNumberFormat="1" applyFont="1" applyFill="1" applyBorder="1"/>
    <xf numFmtId="4" fontId="1" fillId="2" borderId="0" xfId="0" applyNumberFormat="1" applyFont="1" applyFill="1"/>
    <xf numFmtId="0" fontId="2" fillId="2" borderId="0" xfId="0" applyNumberFormat="1" applyFont="1" applyFill="1" applyAlignment="1">
      <alignment horizontal="right"/>
    </xf>
    <xf numFmtId="0" fontId="2" fillId="2" borderId="0" xfId="0" applyNumberFormat="1" applyFont="1" applyFill="1"/>
    <xf numFmtId="3" fontId="0" fillId="2" borderId="0" xfId="0" applyNumberFormat="1" applyFill="1"/>
    <xf numFmtId="0" fontId="1" fillId="2" borderId="0" xfId="0" applyNumberFormat="1" applyFont="1" applyFill="1" applyAlignment="1">
      <alignment horizontal="right"/>
    </xf>
    <xf numFmtId="0" fontId="9" fillId="2" borderId="6" xfId="0" applyFont="1" applyFill="1" applyBorder="1" applyAlignment="1">
      <alignment horizontal="right" wrapText="1"/>
    </xf>
    <xf numFmtId="0" fontId="0" fillId="2" borderId="12" xfId="0" applyFill="1" applyBorder="1" applyAlignment="1">
      <alignment horizontal="right" wrapText="1"/>
    </xf>
    <xf numFmtId="0" fontId="0" fillId="2" borderId="12" xfId="0" applyFill="1" applyBorder="1" applyAlignment="1">
      <alignment wrapText="1"/>
    </xf>
    <xf numFmtId="0" fontId="22" fillId="2" borderId="13" xfId="9" applyFont="1" applyFill="1" applyBorder="1" applyAlignment="1"/>
    <xf numFmtId="0" fontId="23" fillId="0" borderId="13" xfId="0" applyFont="1" applyBorder="1" applyAlignment="1"/>
    <xf numFmtId="0" fontId="4" fillId="2" borderId="13" xfId="9" applyFont="1" applyFill="1" applyBorder="1" applyAlignment="1"/>
    <xf numFmtId="0" fontId="0" fillId="0" borderId="13" xfId="0" applyBorder="1" applyAlignment="1"/>
    <xf numFmtId="0" fontId="0" fillId="0" borderId="0" xfId="0" applyBorder="1" applyAlignment="1"/>
    <xf numFmtId="0" fontId="4" fillId="2" borderId="2" xfId="9" applyFont="1" applyFill="1" applyBorder="1" applyAlignment="1">
      <alignment horizontal="right"/>
    </xf>
    <xf numFmtId="0" fontId="4" fillId="2" borderId="1" xfId="9" applyFont="1" applyFill="1" applyBorder="1" applyAlignment="1">
      <alignment horizontal="right"/>
    </xf>
    <xf numFmtId="0" fontId="4" fillId="2" borderId="3" xfId="9" applyFont="1" applyFill="1" applyBorder="1" applyAlignment="1">
      <alignment horizontal="right"/>
    </xf>
    <xf numFmtId="0" fontId="4" fillId="2" borderId="0" xfId="9" applyFont="1" applyFill="1" applyAlignment="1">
      <alignment horizontal="right"/>
    </xf>
  </cellXfs>
  <cellStyles count="14">
    <cellStyle name="Dezimal_Bewertung_von_Zinsprodukten" xfId="2"/>
    <cellStyle name="Dezimal_PFM3A_11" xfId="3"/>
    <cellStyle name="Euro" xfId="4"/>
    <cellStyle name="Komma" xfId="1" builtinId="3"/>
    <cellStyle name="normal" xfId="5"/>
    <cellStyle name="Prozent" xfId="6" builtinId="5"/>
    <cellStyle name="Standard" xfId="0" builtinId="0"/>
    <cellStyle name="Standard 2" xfId="13"/>
    <cellStyle name="Standard 3" xfId="12"/>
    <cellStyle name="Standard_Beisp. 8.6.5" xfId="7"/>
    <cellStyle name="Standard_PFM3A_12" xfId="8"/>
    <cellStyle name="Standard_PRAX-BE2" xfId="9"/>
    <cellStyle name="swpHead01" xfId="10"/>
    <cellStyle name="Währung" xfId="11" builtinId="4"/>
  </cellStyles>
  <dxfs count="2">
    <dxf>
      <font>
        <b val="0"/>
        <i val="0"/>
        <condense val="0"/>
        <extend val="0"/>
        <color indexed="42"/>
      </font>
      <fill>
        <patternFill>
          <bgColor indexed="42"/>
        </patternFill>
      </fill>
    </dxf>
    <dxf>
      <font>
        <condense val="0"/>
        <extend val="0"/>
        <color indexed="4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85294117647059"/>
          <c:y val="9.2936802973977689E-2"/>
          <c:w val="0.73529411764705888"/>
          <c:h val="0.85501858736059477"/>
        </c:manualLayout>
      </c:layout>
      <c:scatterChart>
        <c:scatterStyle val="smoothMarker"/>
        <c:varyColors val="0"/>
        <c:ser>
          <c:idx val="0"/>
          <c:order val="0"/>
          <c:tx>
            <c:strRef>
              <c:f>'Beisp. 10.4.1'!$E$10</c:f>
              <c:strCache>
                <c:ptCount val="1"/>
                <c:pt idx="0">
                  <c:v>Call</c:v>
                </c:pt>
              </c:strCache>
            </c:strRef>
          </c:tx>
          <c:spPr>
            <a:ln w="12700">
              <a:solidFill>
                <a:srgbClr val="000080"/>
              </a:solidFill>
              <a:prstDash val="solid"/>
            </a:ln>
          </c:spPr>
          <c:marker>
            <c:symbol val="none"/>
          </c:marker>
          <c:xVal>
            <c:numRef>
              <c:f>'Beisp. 10.4.1'!$D$11:$D$13</c:f>
              <c:numCache>
                <c:formatCode>General</c:formatCode>
                <c:ptCount val="3"/>
                <c:pt idx="0">
                  <c:v>0</c:v>
                </c:pt>
                <c:pt idx="1">
                  <c:v>35</c:v>
                </c:pt>
                <c:pt idx="2">
                  <c:v>60</c:v>
                </c:pt>
              </c:numCache>
            </c:numRef>
          </c:xVal>
          <c:yVal>
            <c:numRef>
              <c:f>'Beisp. 10.4.1'!$E$11:$E$13</c:f>
              <c:numCache>
                <c:formatCode>General</c:formatCode>
                <c:ptCount val="3"/>
                <c:pt idx="0">
                  <c:v>-1.8</c:v>
                </c:pt>
                <c:pt idx="1">
                  <c:v>-1.8</c:v>
                </c:pt>
                <c:pt idx="2">
                  <c:v>23.2</c:v>
                </c:pt>
              </c:numCache>
            </c:numRef>
          </c:yVal>
          <c:smooth val="0"/>
        </c:ser>
        <c:ser>
          <c:idx val="1"/>
          <c:order val="1"/>
          <c:tx>
            <c:strRef>
              <c:f>'Beisp. 10.4.1'!$F$10</c:f>
              <c:strCache>
                <c:ptCount val="1"/>
                <c:pt idx="0">
                  <c:v>Aktie</c:v>
                </c:pt>
              </c:strCache>
            </c:strRef>
          </c:tx>
          <c:spPr>
            <a:ln w="12700">
              <a:solidFill>
                <a:srgbClr val="000000"/>
              </a:solidFill>
              <a:prstDash val="sysDash"/>
            </a:ln>
          </c:spPr>
          <c:marker>
            <c:symbol val="none"/>
          </c:marker>
          <c:xVal>
            <c:numRef>
              <c:f>'Beisp. 10.4.1'!$D$11:$D$13</c:f>
              <c:numCache>
                <c:formatCode>General</c:formatCode>
                <c:ptCount val="3"/>
                <c:pt idx="0">
                  <c:v>0</c:v>
                </c:pt>
                <c:pt idx="1">
                  <c:v>35</c:v>
                </c:pt>
                <c:pt idx="2">
                  <c:v>60</c:v>
                </c:pt>
              </c:numCache>
            </c:numRef>
          </c:xVal>
          <c:yVal>
            <c:numRef>
              <c:f>'Beisp. 10.4.1'!$F$11:$F$13</c:f>
              <c:numCache>
                <c:formatCode>General</c:formatCode>
                <c:ptCount val="3"/>
                <c:pt idx="0">
                  <c:v>-34</c:v>
                </c:pt>
                <c:pt idx="1">
                  <c:v>1</c:v>
                </c:pt>
                <c:pt idx="2">
                  <c:v>26</c:v>
                </c:pt>
              </c:numCache>
            </c:numRef>
          </c:yVal>
          <c:smooth val="1"/>
        </c:ser>
        <c:dLbls>
          <c:showLegendKey val="0"/>
          <c:showVal val="0"/>
          <c:showCatName val="0"/>
          <c:showSerName val="0"/>
          <c:showPercent val="0"/>
          <c:showBubbleSize val="0"/>
        </c:dLbls>
        <c:axId val="203047488"/>
        <c:axId val="203048064"/>
      </c:scatterChart>
      <c:valAx>
        <c:axId val="203047488"/>
        <c:scaling>
          <c:orientation val="minMax"/>
          <c:max val="60"/>
        </c:scaling>
        <c:delete val="0"/>
        <c:axPos val="b"/>
        <c:title>
          <c:tx>
            <c:rich>
              <a:bodyPr/>
              <a:lstStyle/>
              <a:p>
                <a:pPr>
                  <a:defRPr sz="1000" b="1" i="0" u="none" strike="noStrike" baseline="0">
                    <a:solidFill>
                      <a:srgbClr val="000000"/>
                    </a:solidFill>
                    <a:latin typeface="Arial"/>
                    <a:ea typeface="Arial"/>
                    <a:cs typeface="Arial"/>
                  </a:defRPr>
                </a:pPr>
                <a:r>
                  <a:rPr lang="de-DE"/>
                  <a:t>Aktienkurs</a:t>
                </a:r>
              </a:p>
            </c:rich>
          </c:tx>
          <c:layout>
            <c:manualLayout>
              <c:xMode val="edge"/>
              <c:yMode val="edge"/>
              <c:x val="0.7279411764705882"/>
              <c:y val="0.5204460966542751"/>
            </c:manualLayout>
          </c:layout>
          <c:overlay val="0"/>
          <c:spPr>
            <a:noFill/>
            <a:ln w="25400">
              <a:noFill/>
            </a:ln>
          </c:spPr>
        </c:title>
        <c:numFmt formatCode="#;#;#" sourceLinked="0"/>
        <c:majorTickMark val="cross"/>
        <c:minorTickMark val="cross"/>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03048064"/>
        <c:crossesAt val="0.1"/>
        <c:crossBetween val="midCat"/>
        <c:minorUnit val="5"/>
      </c:valAx>
      <c:valAx>
        <c:axId val="203048064"/>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de-DE"/>
                  <a:t>Gewinn</a:t>
                </a:r>
              </a:p>
            </c:rich>
          </c:tx>
          <c:layout>
            <c:manualLayout>
              <c:xMode val="edge"/>
              <c:yMode val="edge"/>
              <c:x val="1.8382352941176471E-2"/>
              <c:y val="0.42379182156133827"/>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03047488"/>
        <c:crosses val="autoZero"/>
        <c:crossBetween val="midCat"/>
      </c:valAx>
      <c:spPr>
        <a:noFill/>
        <a:ln w="25400">
          <a:noFill/>
        </a:ln>
      </c:spPr>
    </c:plotArea>
    <c:legend>
      <c:legendPos val="r"/>
      <c:layout>
        <c:manualLayout>
          <c:xMode val="edge"/>
          <c:yMode val="edge"/>
          <c:x val="0.625"/>
          <c:y val="0.76951672862453535"/>
          <c:w val="0.27573529411764708"/>
          <c:h val="0.144981412639405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984251969" l="0.78740157499999996" r="0.78740157499999996" t="0.984251969" header="0.4921259845" footer="0.492125984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Payoff eines Devisencalls 
in Euro</a:t>
            </a:r>
          </a:p>
        </c:rich>
      </c:tx>
      <c:layout>
        <c:manualLayout>
          <c:xMode val="edge"/>
          <c:yMode val="edge"/>
          <c:x val="0.17333408565141342"/>
          <c:y val="5.3498157383927242E-2"/>
        </c:manualLayout>
      </c:layout>
      <c:overlay val="0"/>
      <c:spPr>
        <a:noFill/>
        <a:ln w="25400">
          <a:noFill/>
        </a:ln>
      </c:spPr>
    </c:title>
    <c:autoTitleDeleted val="0"/>
    <c:plotArea>
      <c:layout>
        <c:manualLayout>
          <c:layoutTarget val="inner"/>
          <c:xMode val="edge"/>
          <c:yMode val="edge"/>
          <c:x val="0.16444515818211017"/>
          <c:y val="0.21810787241139568"/>
          <c:w val="0.75555883489077647"/>
          <c:h val="0.53498157383927247"/>
        </c:manualLayout>
      </c:layout>
      <c:scatterChart>
        <c:scatterStyle val="lineMarker"/>
        <c:varyColors val="0"/>
        <c:ser>
          <c:idx val="2"/>
          <c:order val="0"/>
          <c:tx>
            <c:strRef>
              <c:f>'Zusatzbsp. Devisenoption'!$A$17</c:f>
              <c:strCache>
                <c:ptCount val="1"/>
                <c:pt idx="0">
                  <c:v>Payoff  Call</c:v>
                </c:pt>
              </c:strCache>
            </c:strRef>
          </c:tx>
          <c:spPr>
            <a:ln w="12700">
              <a:solidFill>
                <a:srgbClr val="000000"/>
              </a:solidFill>
              <a:prstDash val="solid"/>
            </a:ln>
          </c:spPr>
          <c:marker>
            <c:symbol val="none"/>
          </c:marker>
          <c:xVal>
            <c:numRef>
              <c:f>'Zusatzbsp. Devisenoption'!$C$14:$AB$14</c:f>
              <c:numCache>
                <c:formatCode>General</c:formatCode>
                <c:ptCount val="26"/>
                <c:pt idx="0">
                  <c:v>0.9</c:v>
                </c:pt>
                <c:pt idx="1">
                  <c:v>0.92</c:v>
                </c:pt>
                <c:pt idx="2">
                  <c:v>0.94000000000000006</c:v>
                </c:pt>
                <c:pt idx="3">
                  <c:v>0.96000000000000008</c:v>
                </c:pt>
                <c:pt idx="4">
                  <c:v>0.98000000000000009</c:v>
                </c:pt>
                <c:pt idx="5">
                  <c:v>1</c:v>
                </c:pt>
                <c:pt idx="6">
                  <c:v>1.02</c:v>
                </c:pt>
                <c:pt idx="7">
                  <c:v>1.04</c:v>
                </c:pt>
                <c:pt idx="8">
                  <c:v>1.06</c:v>
                </c:pt>
                <c:pt idx="9">
                  <c:v>1.08</c:v>
                </c:pt>
                <c:pt idx="10">
                  <c:v>1.1000000000000001</c:v>
                </c:pt>
                <c:pt idx="11">
                  <c:v>1.1200000000000001</c:v>
                </c:pt>
                <c:pt idx="12">
                  <c:v>1.1400000000000001</c:v>
                </c:pt>
                <c:pt idx="13">
                  <c:v>1.1600000000000001</c:v>
                </c:pt>
                <c:pt idx="14">
                  <c:v>1.1800000000000002</c:v>
                </c:pt>
                <c:pt idx="15">
                  <c:v>1.2000000000000002</c:v>
                </c:pt>
                <c:pt idx="16">
                  <c:v>1.2200000000000002</c:v>
                </c:pt>
                <c:pt idx="17">
                  <c:v>1.2400000000000002</c:v>
                </c:pt>
                <c:pt idx="18">
                  <c:v>1.2600000000000002</c:v>
                </c:pt>
                <c:pt idx="19">
                  <c:v>1.2800000000000002</c:v>
                </c:pt>
                <c:pt idx="20">
                  <c:v>1.3000000000000003</c:v>
                </c:pt>
                <c:pt idx="21">
                  <c:v>1.3200000000000003</c:v>
                </c:pt>
                <c:pt idx="22">
                  <c:v>1.3400000000000003</c:v>
                </c:pt>
                <c:pt idx="23">
                  <c:v>1.3600000000000003</c:v>
                </c:pt>
                <c:pt idx="24">
                  <c:v>1.3800000000000003</c:v>
                </c:pt>
                <c:pt idx="25">
                  <c:v>1.4000000000000004</c:v>
                </c:pt>
              </c:numCache>
            </c:numRef>
          </c:xVal>
          <c:yVal>
            <c:numRef>
              <c:f>'Zusatzbsp. Devisenoption'!$C$17:$AB$17</c:f>
              <c:numCache>
                <c:formatCode>0.00</c:formatCode>
                <c:ptCount val="26"/>
                <c:pt idx="0">
                  <c:v>0</c:v>
                </c:pt>
                <c:pt idx="1">
                  <c:v>0</c:v>
                </c:pt>
                <c:pt idx="2">
                  <c:v>0</c:v>
                </c:pt>
                <c:pt idx="3">
                  <c:v>0</c:v>
                </c:pt>
                <c:pt idx="4">
                  <c:v>0</c:v>
                </c:pt>
                <c:pt idx="5">
                  <c:v>0</c:v>
                </c:pt>
                <c:pt idx="6">
                  <c:v>0</c:v>
                </c:pt>
                <c:pt idx="7">
                  <c:v>0</c:v>
                </c:pt>
                <c:pt idx="8">
                  <c:v>0</c:v>
                </c:pt>
                <c:pt idx="9">
                  <c:v>0</c:v>
                </c:pt>
                <c:pt idx="10">
                  <c:v>0</c:v>
                </c:pt>
                <c:pt idx="11">
                  <c:v>0</c:v>
                </c:pt>
                <c:pt idx="12">
                  <c:v>1.7543859649122822</c:v>
                </c:pt>
                <c:pt idx="13">
                  <c:v>3.448275862068968</c:v>
                </c:pt>
                <c:pt idx="14">
                  <c:v>5.0847457627118686</c:v>
                </c:pt>
                <c:pt idx="15">
                  <c:v>6.6666666666666714</c:v>
                </c:pt>
                <c:pt idx="16">
                  <c:v>8.1967213114754163</c:v>
                </c:pt>
                <c:pt idx="17">
                  <c:v>9.6774193548387171</c:v>
                </c:pt>
                <c:pt idx="18">
                  <c:v>11.11111111111112</c:v>
                </c:pt>
                <c:pt idx="19">
                  <c:v>12.500000000000009</c:v>
                </c:pt>
                <c:pt idx="20">
                  <c:v>13.846153846153854</c:v>
                </c:pt>
                <c:pt idx="21">
                  <c:v>15.151515151515161</c:v>
                </c:pt>
                <c:pt idx="22">
                  <c:v>16.417910447761205</c:v>
                </c:pt>
                <c:pt idx="23">
                  <c:v>17.647058823529424</c:v>
                </c:pt>
                <c:pt idx="24">
                  <c:v>18.840579710144937</c:v>
                </c:pt>
                <c:pt idx="25">
                  <c:v>20.000000000000014</c:v>
                </c:pt>
              </c:numCache>
            </c:numRef>
          </c:yVal>
          <c:smooth val="0"/>
        </c:ser>
        <c:dLbls>
          <c:showLegendKey val="0"/>
          <c:showVal val="0"/>
          <c:showCatName val="0"/>
          <c:showSerName val="0"/>
          <c:showPercent val="0"/>
          <c:showBubbleSize val="0"/>
        </c:dLbls>
        <c:axId val="206359936"/>
        <c:axId val="206357056"/>
      </c:scatterChart>
      <c:valAx>
        <c:axId val="206359936"/>
        <c:scaling>
          <c:orientation val="minMax"/>
          <c:max val="1.42"/>
          <c:min val="0.9"/>
        </c:scaling>
        <c:delete val="0"/>
        <c:axPos val="b"/>
        <c:title>
          <c:tx>
            <c:rich>
              <a:bodyPr/>
              <a:lstStyle/>
              <a:p>
                <a:pPr>
                  <a:defRPr sz="800" b="1" i="0" u="none" strike="noStrike" baseline="0">
                    <a:solidFill>
                      <a:srgbClr val="000000"/>
                    </a:solidFill>
                    <a:latin typeface="Arial"/>
                    <a:ea typeface="Arial"/>
                    <a:cs typeface="Arial"/>
                  </a:defRPr>
                </a:pPr>
                <a:r>
                  <a:rPr lang="de-DE"/>
                  <a:t>EUR/USD-Kurs</a:t>
                </a:r>
              </a:p>
            </c:rich>
          </c:tx>
          <c:layout>
            <c:manualLayout>
              <c:xMode val="edge"/>
              <c:yMode val="edge"/>
              <c:x val="0.36889048997608498"/>
              <c:y val="0.87654673252126947"/>
            </c:manualLayout>
          </c:layout>
          <c:overlay val="0"/>
          <c:spPr>
            <a:noFill/>
            <a:ln w="25400">
              <a:noFill/>
            </a:ln>
          </c:spPr>
        </c:title>
        <c:numFmt formatCode="General" sourceLinked="1"/>
        <c:majorTickMark val="out"/>
        <c:minorTickMark val="cross"/>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206357056"/>
        <c:crosses val="autoZero"/>
        <c:crossBetween val="midCat"/>
      </c:valAx>
      <c:valAx>
        <c:axId val="206357056"/>
        <c:scaling>
          <c:orientation val="minMax"/>
          <c:max val="20.11"/>
          <c:min val="0"/>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06359936"/>
        <c:crosses val="autoZero"/>
        <c:crossBetween val="midCat"/>
        <c:majorUnit val="5"/>
        <c:minorUnit val="1"/>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4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Payoff eines Devisenputs
 in Euro</a:t>
            </a:r>
          </a:p>
        </c:rich>
      </c:tx>
      <c:layout>
        <c:manualLayout>
          <c:xMode val="edge"/>
          <c:yMode val="edge"/>
          <c:x val="0.17410714285714285"/>
          <c:y val="4.0983688571994616E-2"/>
        </c:manualLayout>
      </c:layout>
      <c:overlay val="0"/>
      <c:spPr>
        <a:noFill/>
        <a:ln w="25400">
          <a:noFill/>
        </a:ln>
      </c:spPr>
    </c:title>
    <c:autoTitleDeleted val="0"/>
    <c:plotArea>
      <c:layout>
        <c:manualLayout>
          <c:layoutTarget val="inner"/>
          <c:xMode val="edge"/>
          <c:yMode val="edge"/>
          <c:x val="0.16517857142857142"/>
          <c:y val="0.22950865600316983"/>
          <c:w val="0.7633928571428571"/>
          <c:h val="0.54098468915032893"/>
        </c:manualLayout>
      </c:layout>
      <c:scatterChart>
        <c:scatterStyle val="lineMarker"/>
        <c:varyColors val="0"/>
        <c:ser>
          <c:idx val="0"/>
          <c:order val="0"/>
          <c:spPr>
            <a:ln w="12700">
              <a:solidFill>
                <a:srgbClr val="000080"/>
              </a:solidFill>
              <a:prstDash val="solid"/>
            </a:ln>
          </c:spPr>
          <c:marker>
            <c:symbol val="none"/>
          </c:marker>
          <c:xVal>
            <c:numRef>
              <c:f>'Zusatzbsp. Devisenoption'!$C$14:$AB$14</c:f>
              <c:numCache>
                <c:formatCode>General</c:formatCode>
                <c:ptCount val="26"/>
                <c:pt idx="0">
                  <c:v>0.9</c:v>
                </c:pt>
                <c:pt idx="1">
                  <c:v>0.92</c:v>
                </c:pt>
                <c:pt idx="2">
                  <c:v>0.94000000000000006</c:v>
                </c:pt>
                <c:pt idx="3">
                  <c:v>0.96000000000000008</c:v>
                </c:pt>
                <c:pt idx="4">
                  <c:v>0.98000000000000009</c:v>
                </c:pt>
                <c:pt idx="5">
                  <c:v>1</c:v>
                </c:pt>
                <c:pt idx="6">
                  <c:v>1.02</c:v>
                </c:pt>
                <c:pt idx="7">
                  <c:v>1.04</c:v>
                </c:pt>
                <c:pt idx="8">
                  <c:v>1.06</c:v>
                </c:pt>
                <c:pt idx="9">
                  <c:v>1.08</c:v>
                </c:pt>
                <c:pt idx="10">
                  <c:v>1.1000000000000001</c:v>
                </c:pt>
                <c:pt idx="11">
                  <c:v>1.1200000000000001</c:v>
                </c:pt>
                <c:pt idx="12">
                  <c:v>1.1400000000000001</c:v>
                </c:pt>
                <c:pt idx="13">
                  <c:v>1.1600000000000001</c:v>
                </c:pt>
                <c:pt idx="14">
                  <c:v>1.1800000000000002</c:v>
                </c:pt>
                <c:pt idx="15">
                  <c:v>1.2000000000000002</c:v>
                </c:pt>
                <c:pt idx="16">
                  <c:v>1.2200000000000002</c:v>
                </c:pt>
                <c:pt idx="17">
                  <c:v>1.2400000000000002</c:v>
                </c:pt>
                <c:pt idx="18">
                  <c:v>1.2600000000000002</c:v>
                </c:pt>
                <c:pt idx="19">
                  <c:v>1.2800000000000002</c:v>
                </c:pt>
                <c:pt idx="20">
                  <c:v>1.3000000000000003</c:v>
                </c:pt>
                <c:pt idx="21">
                  <c:v>1.3200000000000003</c:v>
                </c:pt>
                <c:pt idx="22">
                  <c:v>1.3400000000000003</c:v>
                </c:pt>
                <c:pt idx="23">
                  <c:v>1.3600000000000003</c:v>
                </c:pt>
                <c:pt idx="24">
                  <c:v>1.3800000000000003</c:v>
                </c:pt>
                <c:pt idx="25">
                  <c:v>1.4000000000000004</c:v>
                </c:pt>
              </c:numCache>
            </c:numRef>
          </c:xVal>
          <c:yVal>
            <c:numRef>
              <c:f>'Zusatzbsp. Devisenoption'!$C$18:$AB$18</c:f>
              <c:numCache>
                <c:formatCode>0.00</c:formatCode>
                <c:ptCount val="26"/>
                <c:pt idx="0">
                  <c:v>24.44444444444445</c:v>
                </c:pt>
                <c:pt idx="1">
                  <c:v>21.739130434782616</c:v>
                </c:pt>
                <c:pt idx="2">
                  <c:v>19.148936170212767</c:v>
                </c:pt>
                <c:pt idx="3">
                  <c:v>16.666666666666668</c:v>
                </c:pt>
                <c:pt idx="4">
                  <c:v>14.285714285714286</c:v>
                </c:pt>
                <c:pt idx="5">
                  <c:v>12.000000000000011</c:v>
                </c:pt>
                <c:pt idx="6">
                  <c:v>9.8039215686274588</c:v>
                </c:pt>
                <c:pt idx="7">
                  <c:v>7.6923076923076987</c:v>
                </c:pt>
                <c:pt idx="8">
                  <c:v>5.660377358490571</c:v>
                </c:pt>
                <c:pt idx="9">
                  <c:v>3.7037037037037068</c:v>
                </c:pt>
                <c:pt idx="10">
                  <c:v>1.8181818181818197</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yVal>
          <c:smooth val="0"/>
        </c:ser>
        <c:dLbls>
          <c:showLegendKey val="0"/>
          <c:showVal val="0"/>
          <c:showCatName val="0"/>
          <c:showSerName val="0"/>
          <c:showPercent val="0"/>
          <c:showBubbleSize val="0"/>
        </c:dLbls>
        <c:axId val="205421888"/>
        <c:axId val="206356480"/>
      </c:scatterChart>
      <c:valAx>
        <c:axId val="205421888"/>
        <c:scaling>
          <c:orientation val="minMax"/>
          <c:max val="1.42"/>
          <c:min val="0.9"/>
        </c:scaling>
        <c:delete val="0"/>
        <c:axPos val="b"/>
        <c:title>
          <c:tx>
            <c:rich>
              <a:bodyPr/>
              <a:lstStyle/>
              <a:p>
                <a:pPr>
                  <a:defRPr sz="800" b="1" i="0" u="none" strike="noStrike" baseline="0">
                    <a:solidFill>
                      <a:srgbClr val="000000"/>
                    </a:solidFill>
                    <a:latin typeface="Arial"/>
                    <a:ea typeface="Arial"/>
                    <a:cs typeface="Arial"/>
                  </a:defRPr>
                </a:pPr>
                <a:r>
                  <a:rPr lang="de-DE"/>
                  <a:t>EUR/USD-Kurs</a:t>
                </a:r>
              </a:p>
            </c:rich>
          </c:tx>
          <c:layout>
            <c:manualLayout>
              <c:xMode val="edge"/>
              <c:yMode val="edge"/>
              <c:x val="0.3705357142857143"/>
              <c:y val="0.88114930429788418"/>
            </c:manualLayout>
          </c:layout>
          <c:overlay val="0"/>
          <c:spPr>
            <a:noFill/>
            <a:ln w="25400">
              <a:noFill/>
            </a:ln>
          </c:spPr>
        </c:title>
        <c:numFmt formatCode="General" sourceLinked="1"/>
        <c:majorTickMark val="out"/>
        <c:minorTickMark val="cross"/>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06356480"/>
        <c:crosses val="autoZero"/>
        <c:crossBetween val="midCat"/>
      </c:valAx>
      <c:valAx>
        <c:axId val="206356480"/>
        <c:scaling>
          <c:orientation val="minMax"/>
          <c:max val="25"/>
          <c:min val="0"/>
        </c:scaling>
        <c:delete val="0"/>
        <c:axPos val="l"/>
        <c:majorGridlines>
          <c:spPr>
            <a:ln w="3175">
              <a:solidFill>
                <a:srgbClr val="000000"/>
              </a:solidFill>
              <a:prstDash val="sysDash"/>
            </a:ln>
          </c:spPr>
        </c:majorGridlines>
        <c:numFmt formatCode="0" sourceLinked="0"/>
        <c:majorTickMark val="out"/>
        <c:minorTickMark val="cross"/>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05421888"/>
        <c:crosses val="autoZero"/>
        <c:crossBetween val="midCat"/>
        <c:majorUnit val="5"/>
        <c:minorUnit val="1"/>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4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172185430463577"/>
          <c:y val="0.10638319976562452"/>
          <c:w val="0.71192052980132448"/>
          <c:h val="0.68510780649062186"/>
        </c:manualLayout>
      </c:layout>
      <c:barChart>
        <c:barDir val="col"/>
        <c:grouping val="clustered"/>
        <c:varyColors val="0"/>
        <c:ser>
          <c:idx val="0"/>
          <c:order val="0"/>
          <c:spPr>
            <a:solidFill>
              <a:srgbClr val="8080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val>
            <c:numRef>
              <c:f>'Beisp. 10.5.1'!$B$15:$B$16</c:f>
              <c:numCache>
                <c:formatCode>#,##0.00</c:formatCode>
                <c:ptCount val="2"/>
                <c:pt idx="0">
                  <c:v>0</c:v>
                </c:pt>
                <c:pt idx="1">
                  <c:v>12648.482182138139</c:v>
                </c:pt>
              </c:numCache>
            </c:numRef>
          </c:val>
        </c:ser>
        <c:dLbls>
          <c:showLegendKey val="0"/>
          <c:showVal val="1"/>
          <c:showCatName val="0"/>
          <c:showSerName val="0"/>
          <c:showPercent val="0"/>
          <c:showBubbleSize val="0"/>
        </c:dLbls>
        <c:gapWidth val="150"/>
        <c:axId val="205755904"/>
        <c:axId val="206361664"/>
      </c:barChart>
      <c:catAx>
        <c:axId val="20575590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de-DE"/>
                  <a:t>Einsatz                      Gewinn</a:t>
                </a:r>
              </a:p>
            </c:rich>
          </c:tx>
          <c:layout>
            <c:manualLayout>
              <c:xMode val="edge"/>
              <c:yMode val="edge"/>
              <c:x val="0.34768211920529801"/>
              <c:y val="0.83404428616249615"/>
            </c:manualLayout>
          </c:layout>
          <c:overlay val="0"/>
          <c:spPr>
            <a:noFill/>
            <a:ln w="25400">
              <a:noFill/>
            </a:ln>
          </c:spPr>
        </c:title>
        <c:majorTickMark val="cross"/>
        <c:minorTickMark val="none"/>
        <c:tickLblPos val="none"/>
        <c:spPr>
          <a:ln w="3175">
            <a:solidFill>
              <a:srgbClr val="000000"/>
            </a:solidFill>
            <a:prstDash val="solid"/>
          </a:ln>
        </c:spPr>
        <c:crossAx val="206361664"/>
        <c:crosses val="autoZero"/>
        <c:auto val="0"/>
        <c:lblAlgn val="ctr"/>
        <c:lblOffset val="100"/>
        <c:tickMarkSkip val="1"/>
        <c:noMultiLvlLbl val="0"/>
      </c:catAx>
      <c:valAx>
        <c:axId val="206361664"/>
        <c:scaling>
          <c:orientation val="minMax"/>
        </c:scaling>
        <c:delete val="0"/>
        <c:axPos val="l"/>
        <c:numFmt formatCode="#,##0.0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0575590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984251969" l="0.78740157499999996" r="0.78740157499999996" t="0.984251969" header="0.51181102300000003" footer="0.51181102300000003"/>
    <c:pageSetup paperSize="9" orientation="landscape" horizontalDpi="-4"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DE"/>
              <a:t>Diskontierungsfaktor</a:t>
            </a:r>
          </a:p>
        </c:rich>
      </c:tx>
      <c:layout>
        <c:manualLayout>
          <c:xMode val="edge"/>
          <c:yMode val="edge"/>
          <c:x val="0.37551057827505008"/>
          <c:y val="3.5842419363307024E-2"/>
        </c:manualLayout>
      </c:layout>
      <c:overlay val="0"/>
      <c:spPr>
        <a:noFill/>
        <a:ln w="25400">
          <a:noFill/>
        </a:ln>
      </c:spPr>
    </c:title>
    <c:autoTitleDeleted val="0"/>
    <c:plotArea>
      <c:layout>
        <c:manualLayout>
          <c:layoutTarget val="inner"/>
          <c:xMode val="edge"/>
          <c:yMode val="edge"/>
          <c:x val="0.10408173636971497"/>
          <c:y val="0.21505451617984214"/>
          <c:w val="0.79387834211410047"/>
          <c:h val="0.56272598400392027"/>
        </c:manualLayout>
      </c:layout>
      <c:scatterChart>
        <c:scatterStyle val="smoothMarker"/>
        <c:varyColors val="0"/>
        <c:ser>
          <c:idx val="0"/>
          <c:order val="0"/>
          <c:tx>
            <c:strRef>
              <c:f>Zinssatz!$F$5</c:f>
              <c:strCache>
                <c:ptCount val="1"/>
                <c:pt idx="0">
                  <c:v>d</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Zinssatz!$B$6:$B$24</c:f>
              <c:numCache>
                <c:formatCode>dd/\ mm\ yyyy</c:formatCode>
                <c:ptCount val="19"/>
                <c:pt idx="0">
                  <c:v>37944</c:v>
                </c:pt>
                <c:pt idx="1">
                  <c:v>37974</c:v>
                </c:pt>
                <c:pt idx="2">
                  <c:v>38036</c:v>
                </c:pt>
                <c:pt idx="3">
                  <c:v>38126</c:v>
                </c:pt>
                <c:pt idx="4">
                  <c:v>38310</c:v>
                </c:pt>
                <c:pt idx="5">
                  <c:v>38677</c:v>
                </c:pt>
                <c:pt idx="6">
                  <c:v>39041</c:v>
                </c:pt>
                <c:pt idx="7">
                  <c:v>39405</c:v>
                </c:pt>
                <c:pt idx="8">
                  <c:v>39771</c:v>
                </c:pt>
                <c:pt idx="9">
                  <c:v>40136</c:v>
                </c:pt>
                <c:pt idx="10">
                  <c:v>40501</c:v>
                </c:pt>
                <c:pt idx="11">
                  <c:v>40868</c:v>
                </c:pt>
                <c:pt idx="12">
                  <c:v>41232</c:v>
                </c:pt>
                <c:pt idx="13">
                  <c:v>41597</c:v>
                </c:pt>
                <c:pt idx="14">
                  <c:v>41962</c:v>
                </c:pt>
                <c:pt idx="15">
                  <c:v>42327</c:v>
                </c:pt>
                <c:pt idx="16">
                  <c:v>42695</c:v>
                </c:pt>
                <c:pt idx="17">
                  <c:v>43059</c:v>
                </c:pt>
                <c:pt idx="18">
                  <c:v>43423</c:v>
                </c:pt>
              </c:numCache>
            </c:numRef>
          </c:xVal>
          <c:yVal>
            <c:numRef>
              <c:f>Zinssatz!$F$6:$F$24</c:f>
              <c:numCache>
                <c:formatCode>0.000000000</c:formatCode>
                <c:ptCount val="19"/>
                <c:pt idx="0" formatCode="General">
                  <c:v>1</c:v>
                </c:pt>
                <c:pt idx="1">
                  <c:v>0.9982812923749611</c:v>
                </c:pt>
                <c:pt idx="2">
                  <c:v>0.99452546880273052</c:v>
                </c:pt>
                <c:pt idx="3">
                  <c:v>0.98901001086921991</c:v>
                </c:pt>
                <c:pt idx="4">
                  <c:v>0.97671431675984799</c:v>
                </c:pt>
                <c:pt idx="5">
                  <c:v>0.94564141779671684</c:v>
                </c:pt>
                <c:pt idx="6">
                  <c:v>0.90957443724748621</c:v>
                </c:pt>
                <c:pt idx="7">
                  <c:v>0.87076517699785494</c:v>
                </c:pt>
                <c:pt idx="8">
                  <c:v>0.83132305138034768</c:v>
                </c:pt>
                <c:pt idx="9">
                  <c:v>0.79123787358425079</c:v>
                </c:pt>
                <c:pt idx="10">
                  <c:v>0.75203398392125342</c:v>
                </c:pt>
                <c:pt idx="11">
                  <c:v>0.71325861312159966</c:v>
                </c:pt>
                <c:pt idx="12">
                  <c:v>0.67664821533140229</c:v>
                </c:pt>
                <c:pt idx="13">
                  <c:v>0.64156988847331287</c:v>
                </c:pt>
                <c:pt idx="14">
                  <c:v>0.60815151879737495</c:v>
                </c:pt>
                <c:pt idx="15">
                  <c:v>0.57532126446617682</c:v>
                </c:pt>
                <c:pt idx="16">
                  <c:v>0.54424316346599089</c:v>
                </c:pt>
                <c:pt idx="17">
                  <c:v>0.5141131343428379</c:v>
                </c:pt>
                <c:pt idx="18">
                  <c:v>0.48474344323307944</c:v>
                </c:pt>
              </c:numCache>
            </c:numRef>
          </c:yVal>
          <c:smooth val="1"/>
        </c:ser>
        <c:dLbls>
          <c:showLegendKey val="0"/>
          <c:showVal val="0"/>
          <c:showCatName val="0"/>
          <c:showSerName val="0"/>
          <c:showPercent val="0"/>
          <c:showBubbleSize val="0"/>
        </c:dLbls>
        <c:axId val="206363392"/>
        <c:axId val="206362240"/>
      </c:scatterChart>
      <c:valAx>
        <c:axId val="206363392"/>
        <c:scaling>
          <c:orientation val="minMax"/>
          <c:min val="37944"/>
        </c:scaling>
        <c:delete val="0"/>
        <c:axPos val="b"/>
        <c:numFmt formatCode="dd/\ mm\ yyyy"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206362240"/>
        <c:crosses val="autoZero"/>
        <c:crossBetween val="midCat"/>
      </c:valAx>
      <c:valAx>
        <c:axId val="206362240"/>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206363392"/>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t>Analyse eines Swaps</a:t>
            </a:r>
          </a:p>
        </c:rich>
      </c:tx>
      <c:layout>
        <c:manualLayout>
          <c:xMode val="edge"/>
          <c:yMode val="edge"/>
          <c:x val="0.32066545504733784"/>
          <c:y val="4.9342184515998463E-2"/>
        </c:manualLayout>
      </c:layout>
      <c:overlay val="0"/>
      <c:spPr>
        <a:noFill/>
        <a:ln w="25400">
          <a:noFill/>
        </a:ln>
      </c:spPr>
    </c:title>
    <c:autoTitleDeleted val="0"/>
    <c:plotArea>
      <c:layout>
        <c:manualLayout>
          <c:layoutTarget val="inner"/>
          <c:xMode val="edge"/>
          <c:yMode val="edge"/>
          <c:x val="8.7886087679640734E-2"/>
          <c:y val="0.11184228490292986"/>
          <c:w val="0.87411027746237269"/>
          <c:h val="0.73026433083677722"/>
        </c:manualLayout>
      </c:layout>
      <c:scatterChart>
        <c:scatterStyle val="lineMarker"/>
        <c:varyColors val="0"/>
        <c:ser>
          <c:idx val="0"/>
          <c:order val="0"/>
          <c:tx>
            <c:strRef>
              <c:f>'Beisp. 10.7.3'!$B$7</c:f>
              <c:strCache>
                <c:ptCount val="1"/>
                <c:pt idx="0">
                  <c:v>Spot-Rate i0,t</c:v>
                </c:pt>
              </c:strCache>
            </c:strRef>
          </c:tx>
          <c:spPr>
            <a:ln w="12700">
              <a:solidFill>
                <a:srgbClr val="000080"/>
              </a:solidFill>
              <a:prstDash val="sysDash"/>
            </a:ln>
          </c:spPr>
          <c:marker>
            <c:symbol val="diamond"/>
            <c:size val="5"/>
            <c:spPr>
              <a:solidFill>
                <a:srgbClr val="000080"/>
              </a:solidFill>
              <a:ln>
                <a:solidFill>
                  <a:srgbClr val="000080"/>
                </a:solidFill>
                <a:prstDash val="solid"/>
              </a:ln>
            </c:spPr>
          </c:marker>
          <c:xVal>
            <c:numRef>
              <c:f>'Beisp. 10.7.3'!$A$8:$A$17</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'Beisp. 10.7.3'!$B$8:$B$17</c:f>
              <c:numCache>
                <c:formatCode>0.000%</c:formatCode>
                <c:ptCount val="10"/>
                <c:pt idx="0">
                  <c:v>0.04</c:v>
                </c:pt>
                <c:pt idx="1">
                  <c:v>4.2500000000000003E-2</c:v>
                </c:pt>
                <c:pt idx="2">
                  <c:v>4.4999999999999998E-2</c:v>
                </c:pt>
                <c:pt idx="3">
                  <c:v>4.8500000000000001E-2</c:v>
                </c:pt>
                <c:pt idx="4">
                  <c:v>0.05</c:v>
                </c:pt>
                <c:pt idx="5">
                  <c:v>5.2499999999999998E-2</c:v>
                </c:pt>
                <c:pt idx="6">
                  <c:v>5.5E-2</c:v>
                </c:pt>
                <c:pt idx="7">
                  <c:v>5.7500000000000002E-2</c:v>
                </c:pt>
                <c:pt idx="8">
                  <c:v>0.06</c:v>
                </c:pt>
                <c:pt idx="9">
                  <c:v>6.2E-2</c:v>
                </c:pt>
              </c:numCache>
            </c:numRef>
          </c:yVal>
          <c:smooth val="0"/>
        </c:ser>
        <c:ser>
          <c:idx val="2"/>
          <c:order val="1"/>
          <c:tx>
            <c:strRef>
              <c:f>'Beisp. 10.7.3'!$D$7</c:f>
              <c:strCache>
                <c:ptCount val="1"/>
                <c:pt idx="0">
                  <c:v>1-Jahres-Forward-Zinssatz  it-1,t / 0</c:v>
                </c:pt>
              </c:strCache>
            </c:strRef>
          </c:tx>
          <c:spPr>
            <a:ln w="12700">
              <a:solidFill>
                <a:srgbClr val="000000"/>
              </a:solidFill>
              <a:prstDash val="solid"/>
            </a:ln>
          </c:spPr>
          <c:marker>
            <c:symbol val="square"/>
            <c:size val="5"/>
            <c:spPr>
              <a:solidFill>
                <a:srgbClr val="000000"/>
              </a:solidFill>
              <a:ln>
                <a:solidFill>
                  <a:srgbClr val="000000"/>
                </a:solidFill>
                <a:prstDash val="solid"/>
              </a:ln>
            </c:spPr>
          </c:marker>
          <c:xVal>
            <c:numRef>
              <c:f>'Beisp. 10.7.3'!$A$8:$A$17</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'Beisp. 10.7.3'!$D$8:$D$17</c:f>
              <c:numCache>
                <c:formatCode>0.0000%</c:formatCode>
                <c:ptCount val="10"/>
                <c:pt idx="0">
                  <c:v>0.04</c:v>
                </c:pt>
                <c:pt idx="1">
                  <c:v>4.500600961538459E-2</c:v>
                </c:pt>
                <c:pt idx="2">
                  <c:v>5.0017999988498207E-2</c:v>
                </c:pt>
                <c:pt idx="3">
                  <c:v>5.9070492107415662E-2</c:v>
                </c:pt>
                <c:pt idx="4">
                  <c:v>5.6021489949330538E-2</c:v>
                </c:pt>
                <c:pt idx="5">
                  <c:v>6.5089569667634573E-2</c:v>
                </c:pt>
                <c:pt idx="6">
                  <c:v>7.0125197940289707E-2</c:v>
                </c:pt>
                <c:pt idx="7">
                  <c:v>7.5166665256167109E-2</c:v>
                </c:pt>
                <c:pt idx="8">
                  <c:v>8.0213943779063213E-2</c:v>
                </c:pt>
                <c:pt idx="9">
                  <c:v>8.0170668544855106E-2</c:v>
                </c:pt>
              </c:numCache>
            </c:numRef>
          </c:yVal>
          <c:smooth val="0"/>
        </c:ser>
        <c:ser>
          <c:idx val="1"/>
          <c:order val="2"/>
          <c:tx>
            <c:strRef>
              <c:f>'Beisp. 10.7.3'!$K$7</c:f>
              <c:strCache>
                <c:ptCount val="1"/>
                <c:pt idx="0">
                  <c:v>fairer Swapsatz</c:v>
                </c:pt>
              </c:strCache>
            </c:strRef>
          </c:tx>
          <c:spPr>
            <a:ln w="12700">
              <a:solidFill>
                <a:srgbClr val="0000FF"/>
              </a:solidFill>
              <a:prstDash val="solid"/>
            </a:ln>
          </c:spPr>
          <c:marker>
            <c:symbol val="none"/>
          </c:marker>
          <c:xVal>
            <c:numRef>
              <c:f>'Beisp. 10.7.3'!$A$8:$A$17</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'Beisp. 10.7.3'!$K$8:$K$17</c:f>
              <c:numCache>
                <c:formatCode>0.000000%</c:formatCode>
                <c:ptCount val="10"/>
                <c:pt idx="0">
                  <c:v>5.9703949340470665E-2</c:v>
                </c:pt>
                <c:pt idx="1">
                  <c:v>5.9703949340470665E-2</c:v>
                </c:pt>
                <c:pt idx="2">
                  <c:v>5.9703949340470665E-2</c:v>
                </c:pt>
                <c:pt idx="3">
                  <c:v>5.9703949340470665E-2</c:v>
                </c:pt>
                <c:pt idx="4">
                  <c:v>5.9703949340470665E-2</c:v>
                </c:pt>
                <c:pt idx="5">
                  <c:v>5.9703949340470665E-2</c:v>
                </c:pt>
                <c:pt idx="6">
                  <c:v>5.9703949340470665E-2</c:v>
                </c:pt>
                <c:pt idx="7">
                  <c:v>5.9703949340470665E-2</c:v>
                </c:pt>
                <c:pt idx="8">
                  <c:v>5.9703949340470665E-2</c:v>
                </c:pt>
                <c:pt idx="9">
                  <c:v>5.9703949340470665E-2</c:v>
                </c:pt>
              </c:numCache>
            </c:numRef>
          </c:yVal>
          <c:smooth val="0"/>
        </c:ser>
        <c:dLbls>
          <c:showLegendKey val="0"/>
          <c:showVal val="0"/>
          <c:showCatName val="0"/>
          <c:showSerName val="0"/>
          <c:showPercent val="0"/>
          <c:showBubbleSize val="0"/>
        </c:dLbls>
        <c:axId val="206038720"/>
        <c:axId val="206039296"/>
      </c:scatterChart>
      <c:valAx>
        <c:axId val="206038720"/>
        <c:scaling>
          <c:orientation val="minMax"/>
          <c:max val="10.5"/>
          <c:min val="0"/>
        </c:scaling>
        <c:delete val="0"/>
        <c:axPos val="b"/>
        <c:title>
          <c:tx>
            <c:rich>
              <a:bodyPr/>
              <a:lstStyle/>
              <a:p>
                <a:pPr>
                  <a:defRPr sz="1000" b="0" i="0" u="none" strike="noStrike" baseline="0">
                    <a:solidFill>
                      <a:srgbClr val="000000"/>
                    </a:solidFill>
                    <a:latin typeface="Times New Roman"/>
                    <a:ea typeface="Times New Roman"/>
                    <a:cs typeface="Times New Roman"/>
                  </a:defRPr>
                </a:pPr>
                <a:r>
                  <a:t>t</a:t>
                </a:r>
              </a:p>
            </c:rich>
          </c:tx>
          <c:layout>
            <c:manualLayout>
              <c:xMode val="edge"/>
              <c:yMode val="edge"/>
              <c:x val="0.95724576580797882"/>
              <c:y val="0.84539609470744037"/>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de-DE"/>
          </a:p>
        </c:txPr>
        <c:crossAx val="206039296"/>
        <c:crosses val="autoZero"/>
        <c:crossBetween val="midCat"/>
        <c:majorUnit val="1"/>
      </c:valAx>
      <c:valAx>
        <c:axId val="206039296"/>
        <c:scaling>
          <c:orientation val="minMax"/>
          <c:max val="8.2000000000000003E-2"/>
          <c:min val="0.03"/>
        </c:scaling>
        <c:delete val="0"/>
        <c:axPos val="l"/>
        <c:numFmt formatCode="0%" sourceLinked="0"/>
        <c:majorTickMark val="cross"/>
        <c:min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de-DE"/>
          </a:p>
        </c:txPr>
        <c:crossAx val="206038720"/>
        <c:crosses val="autoZero"/>
        <c:crossBetween val="midCat"/>
        <c:majorUnit val="0.01"/>
        <c:minorUnit val="5.0000000000000001E-3"/>
      </c:valAx>
      <c:spPr>
        <a:noFill/>
        <a:ln w="25400">
          <a:noFill/>
        </a:ln>
      </c:spPr>
    </c:plotArea>
    <c:legend>
      <c:legendPos val="r"/>
      <c:layout>
        <c:manualLayout>
          <c:xMode val="edge"/>
          <c:yMode val="edge"/>
          <c:x val="0.43230453939715174"/>
          <c:y val="0.61842204593384742"/>
          <c:w val="0.55819542174906955"/>
          <c:h val="0.15789499045119509"/>
        </c:manualLayout>
      </c:layout>
      <c:overlay val="0"/>
      <c:spPr>
        <a:solidFill>
          <a:srgbClr val="FFFFFF"/>
        </a:solidFill>
        <a:ln w="25400">
          <a:noFill/>
        </a:ln>
      </c:spPr>
      <c:txPr>
        <a:bodyPr/>
        <a:lstStyle/>
        <a:p>
          <a:pPr>
            <a:defRPr sz="920" b="0" i="0" u="none" strike="noStrike" baseline="0">
              <a:solidFill>
                <a:srgbClr val="000000"/>
              </a:solidFill>
              <a:latin typeface="Times New Roman"/>
              <a:ea typeface="Times New Roman"/>
              <a:cs typeface="Times New Roman"/>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de-DE"/>
    </a:p>
  </c:txPr>
  <c:printSettings>
    <c:headerFooter alignWithMargins="0">
      <c:oddHeader>&amp;B</c:oddHeader>
      <c:oddFooter>Seite &amp;S</c:oddFooter>
    </c:headerFooter>
    <c:pageMargins b="0.984251969" l="0.78740157499999996" r="0.78740157499999996" t="0.984251969" header="0.4921259845" footer="0.4921259845"/>
    <c:pageSetup paperSize="9" orientation="landscape" horizontalDpi="300"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672109596623538"/>
          <c:y val="0.12621359223300971"/>
          <c:w val="0.70850342489448559"/>
          <c:h val="0.60679611650485432"/>
        </c:manualLayout>
      </c:layout>
      <c:scatterChart>
        <c:scatterStyle val="smoothMarker"/>
        <c:varyColors val="0"/>
        <c:ser>
          <c:idx val="0"/>
          <c:order val="0"/>
          <c:spPr>
            <a:ln w="12700">
              <a:solidFill>
                <a:srgbClr val="000080"/>
              </a:solidFill>
              <a:prstDash val="solid"/>
            </a:ln>
          </c:spPr>
          <c:marker>
            <c:symbol val="none"/>
          </c:marker>
          <c:xVal>
            <c:numRef>
              <c:f>'Aufg. 10.7'!$D$11:$D$13</c:f>
              <c:numCache>
                <c:formatCode>#,##0.00\ "DM";[Red]\-#,##0.00\ "DM"</c:formatCode>
                <c:ptCount val="3"/>
                <c:pt idx="0">
                  <c:v>100</c:v>
                </c:pt>
                <c:pt idx="1">
                  <c:v>300</c:v>
                </c:pt>
                <c:pt idx="2">
                  <c:v>500</c:v>
                </c:pt>
              </c:numCache>
            </c:numRef>
          </c:xVal>
          <c:yVal>
            <c:numRef>
              <c:f>'Aufg. 10.7'!$E$11:$E$13</c:f>
              <c:numCache>
                <c:formatCode>#,##0.00\ "DM";[Red]\-#,##0.00\ "DM"</c:formatCode>
                <c:ptCount val="3"/>
                <c:pt idx="0">
                  <c:v>120</c:v>
                </c:pt>
                <c:pt idx="1">
                  <c:v>-80</c:v>
                </c:pt>
                <c:pt idx="2">
                  <c:v>-80</c:v>
                </c:pt>
              </c:numCache>
            </c:numRef>
          </c:yVal>
          <c:smooth val="0"/>
        </c:ser>
        <c:dLbls>
          <c:showLegendKey val="0"/>
          <c:showVal val="0"/>
          <c:showCatName val="0"/>
          <c:showSerName val="0"/>
          <c:showPercent val="0"/>
          <c:showBubbleSize val="0"/>
        </c:dLbls>
        <c:axId val="206041024"/>
        <c:axId val="206041600"/>
      </c:scatterChart>
      <c:valAx>
        <c:axId val="206041024"/>
        <c:scaling>
          <c:orientation val="minMax"/>
          <c:max val="510"/>
          <c:min val="100"/>
        </c:scaling>
        <c:delete val="0"/>
        <c:axPos val="b"/>
        <c:majorGridlines>
          <c:spPr>
            <a:ln w="3175">
              <a:solidFill>
                <a:srgbClr val="000000"/>
              </a:solidFill>
              <a:prstDash val="sysDash"/>
            </a:ln>
          </c:spPr>
        </c:majorGridlines>
        <c:title>
          <c:tx>
            <c:rich>
              <a:bodyPr/>
              <a:lstStyle/>
              <a:p>
                <a:pPr>
                  <a:defRPr sz="1000" b="1" i="0" u="none" strike="noStrike" baseline="0">
                    <a:solidFill>
                      <a:srgbClr val="000000"/>
                    </a:solidFill>
                    <a:latin typeface="Arial"/>
                    <a:ea typeface="Arial"/>
                    <a:cs typeface="Arial"/>
                  </a:defRPr>
                </a:pPr>
                <a:r>
                  <a:t>Aktienkurs</a:t>
                </a:r>
              </a:p>
            </c:rich>
          </c:tx>
          <c:layout>
            <c:manualLayout>
              <c:xMode val="edge"/>
              <c:yMode val="edge"/>
              <c:x val="0.43724782793488254"/>
              <c:y val="0.8689320388349514"/>
            </c:manualLayout>
          </c:layout>
          <c:overlay val="0"/>
          <c:spPr>
            <a:noFill/>
            <a:ln w="25400">
              <a:noFill/>
            </a:ln>
          </c:spPr>
        </c:title>
        <c:numFmt formatCode="0" sourceLinked="0"/>
        <c:majorTickMark val="in"/>
        <c:minorTickMark val="cross"/>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206041600"/>
        <c:crosses val="autoZero"/>
        <c:crossBetween val="midCat"/>
        <c:minorUnit val="50"/>
      </c:valAx>
      <c:valAx>
        <c:axId val="206041600"/>
        <c:scaling>
          <c:orientation val="minMax"/>
          <c:min val="-100"/>
        </c:scaling>
        <c:delete val="0"/>
        <c:axPos val="l"/>
        <c:majorGridlines>
          <c:spPr>
            <a:ln w="3175">
              <a:solidFill>
                <a:srgbClr val="000000"/>
              </a:solidFill>
              <a:prstDash val="sysDash"/>
            </a:ln>
          </c:spPr>
        </c:majorGridlines>
        <c:title>
          <c:tx>
            <c:rich>
              <a:bodyPr/>
              <a:lstStyle/>
              <a:p>
                <a:pPr>
                  <a:defRPr sz="1000" b="1" i="0" u="none" strike="noStrike" baseline="0">
                    <a:solidFill>
                      <a:srgbClr val="000000"/>
                    </a:solidFill>
                    <a:latin typeface="Arial"/>
                    <a:ea typeface="Arial"/>
                    <a:cs typeface="Arial"/>
                  </a:defRPr>
                </a:pPr>
                <a:r>
                  <a:t>Gewinn</a:t>
                </a:r>
              </a:p>
            </c:rich>
          </c:tx>
          <c:layout>
            <c:manualLayout>
              <c:xMode val="edge"/>
              <c:yMode val="edge"/>
              <c:x val="2.0242954996985304E-2"/>
              <c:y val="0.3009708737864077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206041024"/>
        <c:crossesAt val="0"/>
        <c:crossBetween val="midCat"/>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984251969" l="0.78740157499999996" r="0.78740157499999996" t="0.984251969" header="0.51181102300000003" footer="0.51181102300000003"/>
    <c:pageSetup paperSize="9" orientation="landscape" horizontalDpi="-4" verticalDpi="30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298300719288877"/>
          <c:y val="5.6737785134727999E-2"/>
          <c:w val="0.76608405885661912"/>
          <c:h val="0.73404509518054351"/>
        </c:manualLayout>
      </c:layout>
      <c:scatterChart>
        <c:scatterStyle val="smoothMarker"/>
        <c:varyColors val="0"/>
        <c:ser>
          <c:idx val="0"/>
          <c:order val="0"/>
          <c:tx>
            <c:strRef>
              <c:f>'Aufg. 10.8a'!$J$10</c:f>
              <c:strCache>
                <c:ptCount val="1"/>
                <c:pt idx="0">
                  <c:v>Long Call</c:v>
                </c:pt>
              </c:strCache>
            </c:strRef>
          </c:tx>
          <c:spPr>
            <a:ln w="12700">
              <a:solidFill>
                <a:srgbClr val="000080"/>
              </a:solidFill>
              <a:prstDash val="solid"/>
            </a:ln>
          </c:spPr>
          <c:marker>
            <c:symbol val="none"/>
          </c:marker>
          <c:xVal>
            <c:numRef>
              <c:f>'Aufg. 10.8a'!$I$11:$I$14</c:f>
              <c:numCache>
                <c:formatCode>General</c:formatCode>
                <c:ptCount val="4"/>
                <c:pt idx="0" formatCode="#,##0.00">
                  <c:v>0</c:v>
                </c:pt>
                <c:pt idx="1">
                  <c:v>30</c:v>
                </c:pt>
                <c:pt idx="2">
                  <c:v>35</c:v>
                </c:pt>
                <c:pt idx="3" formatCode="#,##0.00">
                  <c:v>85</c:v>
                </c:pt>
              </c:numCache>
            </c:numRef>
          </c:xVal>
          <c:yVal>
            <c:numRef>
              <c:f>'Aufg. 10.8a'!$J$11:$J$14</c:f>
              <c:numCache>
                <c:formatCode>#,##0.00</c:formatCode>
                <c:ptCount val="4"/>
                <c:pt idx="0">
                  <c:v>-8</c:v>
                </c:pt>
                <c:pt idx="1">
                  <c:v>-8</c:v>
                </c:pt>
                <c:pt idx="2">
                  <c:v>2</c:v>
                </c:pt>
                <c:pt idx="3">
                  <c:v>102</c:v>
                </c:pt>
              </c:numCache>
            </c:numRef>
          </c:yVal>
          <c:smooth val="0"/>
        </c:ser>
        <c:ser>
          <c:idx val="1"/>
          <c:order val="1"/>
          <c:tx>
            <c:strRef>
              <c:f>'Aufg. 10.8a'!$K$10</c:f>
              <c:strCache>
                <c:ptCount val="1"/>
                <c:pt idx="0">
                  <c:v>Short Call</c:v>
                </c:pt>
              </c:strCache>
            </c:strRef>
          </c:tx>
          <c:spPr>
            <a:ln w="12700">
              <a:solidFill>
                <a:srgbClr val="FF00FF"/>
              </a:solidFill>
              <a:prstDash val="solid"/>
            </a:ln>
          </c:spPr>
          <c:marker>
            <c:symbol val="none"/>
          </c:marker>
          <c:xVal>
            <c:numRef>
              <c:f>'Aufg. 10.8a'!$I$11:$I$14</c:f>
              <c:numCache>
                <c:formatCode>General</c:formatCode>
                <c:ptCount val="4"/>
                <c:pt idx="0" formatCode="#,##0.00">
                  <c:v>0</c:v>
                </c:pt>
                <c:pt idx="1">
                  <c:v>30</c:v>
                </c:pt>
                <c:pt idx="2">
                  <c:v>35</c:v>
                </c:pt>
                <c:pt idx="3" formatCode="#,##0.00">
                  <c:v>85</c:v>
                </c:pt>
              </c:numCache>
            </c:numRef>
          </c:xVal>
          <c:yVal>
            <c:numRef>
              <c:f>'Aufg. 10.8a'!$K$11:$K$14</c:f>
              <c:numCache>
                <c:formatCode>General</c:formatCode>
                <c:ptCount val="4"/>
                <c:pt idx="0">
                  <c:v>0</c:v>
                </c:pt>
                <c:pt idx="1">
                  <c:v>0</c:v>
                </c:pt>
                <c:pt idx="2">
                  <c:v>0</c:v>
                </c:pt>
                <c:pt idx="3">
                  <c:v>0</c:v>
                </c:pt>
              </c:numCache>
            </c:numRef>
          </c:yVal>
          <c:smooth val="0"/>
        </c:ser>
        <c:ser>
          <c:idx val="2"/>
          <c:order val="2"/>
          <c:tx>
            <c:strRef>
              <c:f>'Aufg. 10.8a'!$L$10</c:f>
              <c:strCache>
                <c:ptCount val="1"/>
                <c:pt idx="0">
                  <c:v>Long Put</c:v>
                </c:pt>
              </c:strCache>
            </c:strRef>
          </c:tx>
          <c:spPr>
            <a:ln w="12700">
              <a:solidFill>
                <a:srgbClr val="3366FF"/>
              </a:solidFill>
              <a:prstDash val="solid"/>
            </a:ln>
          </c:spPr>
          <c:marker>
            <c:symbol val="none"/>
          </c:marker>
          <c:xVal>
            <c:numRef>
              <c:f>'Aufg. 10.8a'!$I$11:$I$14</c:f>
              <c:numCache>
                <c:formatCode>General</c:formatCode>
                <c:ptCount val="4"/>
                <c:pt idx="0" formatCode="#,##0.00">
                  <c:v>0</c:v>
                </c:pt>
                <c:pt idx="1">
                  <c:v>30</c:v>
                </c:pt>
                <c:pt idx="2">
                  <c:v>35</c:v>
                </c:pt>
                <c:pt idx="3" formatCode="#,##0.00">
                  <c:v>85</c:v>
                </c:pt>
              </c:numCache>
            </c:numRef>
          </c:xVal>
          <c:yVal>
            <c:numRef>
              <c:f>'Aufg. 10.8a'!$L$11:$L$14</c:f>
              <c:numCache>
                <c:formatCode>General</c:formatCode>
                <c:ptCount val="4"/>
                <c:pt idx="0">
                  <c:v>27</c:v>
                </c:pt>
                <c:pt idx="1">
                  <c:v>-3</c:v>
                </c:pt>
                <c:pt idx="2">
                  <c:v>-3</c:v>
                </c:pt>
                <c:pt idx="3">
                  <c:v>-3</c:v>
                </c:pt>
              </c:numCache>
            </c:numRef>
          </c:yVal>
          <c:smooth val="0"/>
        </c:ser>
        <c:ser>
          <c:idx val="3"/>
          <c:order val="3"/>
          <c:tx>
            <c:strRef>
              <c:f>'Aufg. 10.8a'!$M$10</c:f>
              <c:strCache>
                <c:ptCount val="1"/>
                <c:pt idx="0">
                  <c:v>Short-Put</c:v>
                </c:pt>
              </c:strCache>
            </c:strRef>
          </c:tx>
          <c:spPr>
            <a:ln w="12700">
              <a:solidFill>
                <a:srgbClr val="00FFFF"/>
              </a:solidFill>
              <a:prstDash val="solid"/>
            </a:ln>
          </c:spPr>
          <c:marker>
            <c:symbol val="none"/>
          </c:marker>
          <c:xVal>
            <c:numRef>
              <c:f>'Aufg. 10.8a'!$I$11:$I$14</c:f>
              <c:numCache>
                <c:formatCode>General</c:formatCode>
                <c:ptCount val="4"/>
                <c:pt idx="0" formatCode="#,##0.00">
                  <c:v>0</c:v>
                </c:pt>
                <c:pt idx="1">
                  <c:v>30</c:v>
                </c:pt>
                <c:pt idx="2">
                  <c:v>35</c:v>
                </c:pt>
                <c:pt idx="3" formatCode="#,##0.00">
                  <c:v>85</c:v>
                </c:pt>
              </c:numCache>
            </c:numRef>
          </c:xVal>
          <c:yVal>
            <c:numRef>
              <c:f>'Aufg. 10.8a'!$M$11:$M$14</c:f>
              <c:numCache>
                <c:formatCode>General</c:formatCode>
                <c:ptCount val="4"/>
                <c:pt idx="0">
                  <c:v>0</c:v>
                </c:pt>
                <c:pt idx="1">
                  <c:v>0</c:v>
                </c:pt>
                <c:pt idx="2">
                  <c:v>0</c:v>
                </c:pt>
                <c:pt idx="3">
                  <c:v>0</c:v>
                </c:pt>
              </c:numCache>
            </c:numRef>
          </c:yVal>
          <c:smooth val="0"/>
        </c:ser>
        <c:ser>
          <c:idx val="4"/>
          <c:order val="4"/>
          <c:tx>
            <c:strRef>
              <c:f>'Aufg. 10.8a'!$N$10</c:f>
              <c:strCache>
                <c:ptCount val="1"/>
                <c:pt idx="0">
                  <c:v>Gesamt</c:v>
                </c:pt>
              </c:strCache>
            </c:strRef>
          </c:tx>
          <c:spPr>
            <a:ln w="25400">
              <a:solidFill>
                <a:srgbClr val="800080"/>
              </a:solidFill>
              <a:prstDash val="solid"/>
            </a:ln>
          </c:spPr>
          <c:marker>
            <c:symbol val="none"/>
          </c:marker>
          <c:xVal>
            <c:numRef>
              <c:f>'Aufg. 10.8a'!$I$11:$I$14</c:f>
              <c:numCache>
                <c:formatCode>General</c:formatCode>
                <c:ptCount val="4"/>
                <c:pt idx="0" formatCode="#,##0.00">
                  <c:v>0</c:v>
                </c:pt>
                <c:pt idx="1">
                  <c:v>30</c:v>
                </c:pt>
                <c:pt idx="2">
                  <c:v>35</c:v>
                </c:pt>
                <c:pt idx="3" formatCode="#,##0.00">
                  <c:v>85</c:v>
                </c:pt>
              </c:numCache>
            </c:numRef>
          </c:xVal>
          <c:yVal>
            <c:numRef>
              <c:f>'Aufg. 10.8a'!$N$11:$N$14</c:f>
              <c:numCache>
                <c:formatCode>#,##0.00</c:formatCode>
                <c:ptCount val="4"/>
                <c:pt idx="0">
                  <c:v>19</c:v>
                </c:pt>
                <c:pt idx="1">
                  <c:v>-11</c:v>
                </c:pt>
                <c:pt idx="2">
                  <c:v>-1</c:v>
                </c:pt>
                <c:pt idx="3">
                  <c:v>99</c:v>
                </c:pt>
              </c:numCache>
            </c:numRef>
          </c:yVal>
          <c:smooth val="0"/>
        </c:ser>
        <c:dLbls>
          <c:showLegendKey val="0"/>
          <c:showVal val="0"/>
          <c:showCatName val="0"/>
          <c:showSerName val="0"/>
          <c:showPercent val="0"/>
          <c:showBubbleSize val="0"/>
        </c:dLbls>
        <c:axId val="206043328"/>
        <c:axId val="206043904"/>
      </c:scatterChart>
      <c:valAx>
        <c:axId val="206043328"/>
        <c:scaling>
          <c:orientation val="minMax"/>
          <c:max val="67"/>
          <c:min val="0"/>
        </c:scaling>
        <c:delete val="0"/>
        <c:axPos val="b"/>
        <c:title>
          <c:tx>
            <c:rich>
              <a:bodyPr/>
              <a:lstStyle/>
              <a:p>
                <a:pPr>
                  <a:defRPr sz="900" b="1" i="0" u="none" strike="noStrike" baseline="0">
                    <a:solidFill>
                      <a:srgbClr val="000000"/>
                    </a:solidFill>
                    <a:latin typeface="Arial"/>
                    <a:ea typeface="Arial"/>
                    <a:cs typeface="Arial"/>
                  </a:defRPr>
                </a:pPr>
                <a:r>
                  <a:t>Aktienkurs</a:t>
                </a:r>
              </a:p>
            </c:rich>
          </c:tx>
          <c:layout>
            <c:manualLayout>
              <c:xMode val="edge"/>
              <c:yMode val="edge"/>
              <c:x val="0.47953353302475393"/>
              <c:y val="0.8297901075953969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206043904"/>
        <c:crosses val="autoZero"/>
        <c:crossBetween val="midCat"/>
      </c:valAx>
      <c:valAx>
        <c:axId val="206043904"/>
        <c:scaling>
          <c:orientation val="minMax"/>
          <c:max val="35"/>
        </c:scaling>
        <c:delete val="0"/>
        <c:axPos val="l"/>
        <c:majorGridlines>
          <c:spPr>
            <a:ln w="3175">
              <a:solidFill>
                <a:srgbClr val="000000"/>
              </a:solidFill>
              <a:prstDash val="sysDash"/>
            </a:ln>
          </c:spPr>
        </c:majorGridlines>
        <c:title>
          <c:tx>
            <c:rich>
              <a:bodyPr/>
              <a:lstStyle/>
              <a:p>
                <a:pPr>
                  <a:defRPr sz="900" b="1" i="0" u="none" strike="noStrike" baseline="0">
                    <a:solidFill>
                      <a:srgbClr val="000000"/>
                    </a:solidFill>
                    <a:latin typeface="Arial"/>
                    <a:ea typeface="Arial"/>
                    <a:cs typeface="Arial"/>
                  </a:defRPr>
                </a:pPr>
                <a:r>
                  <a:t>Gewinn</a:t>
                </a:r>
              </a:p>
            </c:rich>
          </c:tx>
          <c:layout>
            <c:manualLayout>
              <c:xMode val="edge"/>
              <c:yMode val="edge"/>
              <c:x val="4.0935789404552163E-2"/>
              <c:y val="0.34042671080836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206043328"/>
        <c:crosses val="autoZero"/>
        <c:crossBetween val="midCat"/>
      </c:valAx>
      <c:spPr>
        <a:noFill/>
        <a:ln w="25400">
          <a:noFill/>
        </a:ln>
      </c:spPr>
    </c:plotArea>
    <c:legend>
      <c:legendPos val="r"/>
      <c:layout>
        <c:manualLayout>
          <c:xMode val="edge"/>
          <c:yMode val="edge"/>
          <c:x val="0.16081917266074064"/>
          <c:y val="0.84397455387907894"/>
          <c:w val="0.69006044996245075"/>
          <c:h val="0.145390574407740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298300719288877"/>
          <c:y val="5.6737785134727999E-2"/>
          <c:w val="0.76608405885661912"/>
          <c:h val="0.73404509518054351"/>
        </c:manualLayout>
      </c:layout>
      <c:scatterChart>
        <c:scatterStyle val="smoothMarker"/>
        <c:varyColors val="0"/>
        <c:ser>
          <c:idx val="0"/>
          <c:order val="0"/>
          <c:tx>
            <c:strRef>
              <c:f>'Aufg. 10.8b'!$J$10</c:f>
              <c:strCache>
                <c:ptCount val="1"/>
                <c:pt idx="0">
                  <c:v>Long Call</c:v>
                </c:pt>
              </c:strCache>
            </c:strRef>
          </c:tx>
          <c:spPr>
            <a:ln w="12700">
              <a:solidFill>
                <a:srgbClr val="000080"/>
              </a:solidFill>
              <a:prstDash val="solid"/>
            </a:ln>
          </c:spPr>
          <c:marker>
            <c:symbol val="none"/>
          </c:marker>
          <c:xVal>
            <c:numRef>
              <c:f>'Aufg. 10.8b'!$I$11:$I$14</c:f>
              <c:numCache>
                <c:formatCode>General</c:formatCode>
                <c:ptCount val="4"/>
                <c:pt idx="0" formatCode="#,##0.00">
                  <c:v>0</c:v>
                </c:pt>
                <c:pt idx="1">
                  <c:v>30</c:v>
                </c:pt>
                <c:pt idx="2">
                  <c:v>35</c:v>
                </c:pt>
                <c:pt idx="3" formatCode="#,##0.00">
                  <c:v>85</c:v>
                </c:pt>
              </c:numCache>
            </c:numRef>
          </c:xVal>
          <c:yVal>
            <c:numRef>
              <c:f>'Aufg. 10.8b'!$J$11:$J$14</c:f>
              <c:numCache>
                <c:formatCode>#,##0.00</c:formatCode>
                <c:ptCount val="4"/>
                <c:pt idx="0">
                  <c:v>0</c:v>
                </c:pt>
                <c:pt idx="1">
                  <c:v>0</c:v>
                </c:pt>
                <c:pt idx="2">
                  <c:v>0</c:v>
                </c:pt>
                <c:pt idx="3">
                  <c:v>0</c:v>
                </c:pt>
              </c:numCache>
            </c:numRef>
          </c:yVal>
          <c:smooth val="0"/>
        </c:ser>
        <c:ser>
          <c:idx val="1"/>
          <c:order val="1"/>
          <c:tx>
            <c:strRef>
              <c:f>'Aufg. 10.8b'!$K$10</c:f>
              <c:strCache>
                <c:ptCount val="1"/>
                <c:pt idx="0">
                  <c:v>Short Call</c:v>
                </c:pt>
              </c:strCache>
            </c:strRef>
          </c:tx>
          <c:spPr>
            <a:ln w="12700">
              <a:solidFill>
                <a:srgbClr val="FF00FF"/>
              </a:solidFill>
              <a:prstDash val="solid"/>
            </a:ln>
          </c:spPr>
          <c:marker>
            <c:symbol val="none"/>
          </c:marker>
          <c:xVal>
            <c:numRef>
              <c:f>'Aufg. 10.8b'!$I$11:$I$14</c:f>
              <c:numCache>
                <c:formatCode>General</c:formatCode>
                <c:ptCount val="4"/>
                <c:pt idx="0" formatCode="#,##0.00">
                  <c:v>0</c:v>
                </c:pt>
                <c:pt idx="1">
                  <c:v>30</c:v>
                </c:pt>
                <c:pt idx="2">
                  <c:v>35</c:v>
                </c:pt>
                <c:pt idx="3" formatCode="#,##0.00">
                  <c:v>85</c:v>
                </c:pt>
              </c:numCache>
            </c:numRef>
          </c:xVal>
          <c:yVal>
            <c:numRef>
              <c:f>'Aufg. 10.8b'!$K$11:$K$14</c:f>
              <c:numCache>
                <c:formatCode>General</c:formatCode>
                <c:ptCount val="4"/>
                <c:pt idx="0">
                  <c:v>3</c:v>
                </c:pt>
                <c:pt idx="1">
                  <c:v>3</c:v>
                </c:pt>
                <c:pt idx="2">
                  <c:v>3</c:v>
                </c:pt>
                <c:pt idx="3">
                  <c:v>-47</c:v>
                </c:pt>
              </c:numCache>
            </c:numRef>
          </c:yVal>
          <c:smooth val="0"/>
        </c:ser>
        <c:ser>
          <c:idx val="2"/>
          <c:order val="2"/>
          <c:tx>
            <c:strRef>
              <c:f>'Aufg. 10.8b'!$L$10</c:f>
              <c:strCache>
                <c:ptCount val="1"/>
                <c:pt idx="0">
                  <c:v>Long Put</c:v>
                </c:pt>
              </c:strCache>
            </c:strRef>
          </c:tx>
          <c:spPr>
            <a:ln w="12700">
              <a:solidFill>
                <a:srgbClr val="3366FF"/>
              </a:solidFill>
              <a:prstDash val="solid"/>
            </a:ln>
          </c:spPr>
          <c:marker>
            <c:symbol val="none"/>
          </c:marker>
          <c:xVal>
            <c:numRef>
              <c:f>'Aufg. 10.8b'!$I$11:$I$14</c:f>
              <c:numCache>
                <c:formatCode>General</c:formatCode>
                <c:ptCount val="4"/>
                <c:pt idx="0" formatCode="#,##0.00">
                  <c:v>0</c:v>
                </c:pt>
                <c:pt idx="1">
                  <c:v>30</c:v>
                </c:pt>
                <c:pt idx="2">
                  <c:v>35</c:v>
                </c:pt>
                <c:pt idx="3" formatCode="#,##0.00">
                  <c:v>85</c:v>
                </c:pt>
              </c:numCache>
            </c:numRef>
          </c:xVal>
          <c:yVal>
            <c:numRef>
              <c:f>'Aufg. 10.8b'!$L$11:$L$14</c:f>
              <c:numCache>
                <c:formatCode>General</c:formatCode>
                <c:ptCount val="4"/>
                <c:pt idx="0">
                  <c:v>0</c:v>
                </c:pt>
                <c:pt idx="1">
                  <c:v>0</c:v>
                </c:pt>
                <c:pt idx="2">
                  <c:v>0</c:v>
                </c:pt>
                <c:pt idx="3">
                  <c:v>0</c:v>
                </c:pt>
              </c:numCache>
            </c:numRef>
          </c:yVal>
          <c:smooth val="0"/>
        </c:ser>
        <c:ser>
          <c:idx val="3"/>
          <c:order val="3"/>
          <c:tx>
            <c:strRef>
              <c:f>'Aufg. 10.8b'!$M$10</c:f>
              <c:strCache>
                <c:ptCount val="1"/>
                <c:pt idx="0">
                  <c:v>Short-Put</c:v>
                </c:pt>
              </c:strCache>
            </c:strRef>
          </c:tx>
          <c:spPr>
            <a:ln w="12700">
              <a:solidFill>
                <a:srgbClr val="00FFFF"/>
              </a:solidFill>
              <a:prstDash val="solid"/>
            </a:ln>
          </c:spPr>
          <c:marker>
            <c:symbol val="none"/>
          </c:marker>
          <c:xVal>
            <c:numRef>
              <c:f>'Aufg. 10.8b'!$I$11:$I$14</c:f>
              <c:numCache>
                <c:formatCode>General</c:formatCode>
                <c:ptCount val="4"/>
                <c:pt idx="0" formatCode="#,##0.00">
                  <c:v>0</c:v>
                </c:pt>
                <c:pt idx="1">
                  <c:v>30</c:v>
                </c:pt>
                <c:pt idx="2">
                  <c:v>35</c:v>
                </c:pt>
                <c:pt idx="3" formatCode="#,##0.00">
                  <c:v>85</c:v>
                </c:pt>
              </c:numCache>
            </c:numRef>
          </c:xVal>
          <c:yVal>
            <c:numRef>
              <c:f>'Aufg. 10.8b'!$M$11:$M$14</c:f>
              <c:numCache>
                <c:formatCode>General</c:formatCode>
                <c:ptCount val="4"/>
                <c:pt idx="0">
                  <c:v>-28</c:v>
                </c:pt>
                <c:pt idx="1">
                  <c:v>2</c:v>
                </c:pt>
                <c:pt idx="2">
                  <c:v>2</c:v>
                </c:pt>
                <c:pt idx="3">
                  <c:v>2</c:v>
                </c:pt>
              </c:numCache>
            </c:numRef>
          </c:yVal>
          <c:smooth val="0"/>
        </c:ser>
        <c:ser>
          <c:idx val="4"/>
          <c:order val="4"/>
          <c:tx>
            <c:strRef>
              <c:f>'Aufg. 10.8b'!$N$10</c:f>
              <c:strCache>
                <c:ptCount val="1"/>
                <c:pt idx="0">
                  <c:v>Gesamt</c:v>
                </c:pt>
              </c:strCache>
            </c:strRef>
          </c:tx>
          <c:spPr>
            <a:ln w="25400">
              <a:solidFill>
                <a:srgbClr val="800080"/>
              </a:solidFill>
              <a:prstDash val="solid"/>
            </a:ln>
          </c:spPr>
          <c:marker>
            <c:symbol val="none"/>
          </c:marker>
          <c:xVal>
            <c:numRef>
              <c:f>'Aufg. 10.8b'!$I$11:$I$14</c:f>
              <c:numCache>
                <c:formatCode>General</c:formatCode>
                <c:ptCount val="4"/>
                <c:pt idx="0" formatCode="#,##0.00">
                  <c:v>0</c:v>
                </c:pt>
                <c:pt idx="1">
                  <c:v>30</c:v>
                </c:pt>
                <c:pt idx="2">
                  <c:v>35</c:v>
                </c:pt>
                <c:pt idx="3" formatCode="#,##0.00">
                  <c:v>85</c:v>
                </c:pt>
              </c:numCache>
            </c:numRef>
          </c:xVal>
          <c:yVal>
            <c:numRef>
              <c:f>'Aufg. 10.8b'!$N$11:$N$14</c:f>
              <c:numCache>
                <c:formatCode>#,##0.00</c:formatCode>
                <c:ptCount val="4"/>
                <c:pt idx="0">
                  <c:v>-25</c:v>
                </c:pt>
                <c:pt idx="1">
                  <c:v>5</c:v>
                </c:pt>
                <c:pt idx="2">
                  <c:v>5</c:v>
                </c:pt>
                <c:pt idx="3">
                  <c:v>-45</c:v>
                </c:pt>
              </c:numCache>
            </c:numRef>
          </c:yVal>
          <c:smooth val="0"/>
        </c:ser>
        <c:dLbls>
          <c:showLegendKey val="0"/>
          <c:showVal val="0"/>
          <c:showCatName val="0"/>
          <c:showSerName val="0"/>
          <c:showPercent val="0"/>
          <c:showBubbleSize val="0"/>
        </c:dLbls>
        <c:axId val="207504512"/>
        <c:axId val="207505088"/>
      </c:scatterChart>
      <c:valAx>
        <c:axId val="207504512"/>
        <c:scaling>
          <c:orientation val="minMax"/>
          <c:max val="87"/>
          <c:min val="0"/>
        </c:scaling>
        <c:delete val="0"/>
        <c:axPos val="b"/>
        <c:title>
          <c:tx>
            <c:rich>
              <a:bodyPr/>
              <a:lstStyle/>
              <a:p>
                <a:pPr>
                  <a:defRPr sz="900" b="1" i="0" u="none" strike="noStrike" baseline="0">
                    <a:solidFill>
                      <a:srgbClr val="000000"/>
                    </a:solidFill>
                    <a:latin typeface="Arial"/>
                    <a:ea typeface="Arial"/>
                    <a:cs typeface="Arial"/>
                  </a:defRPr>
                </a:pPr>
                <a:r>
                  <a:t>Aktienkurs</a:t>
                </a:r>
              </a:p>
            </c:rich>
          </c:tx>
          <c:layout>
            <c:manualLayout>
              <c:xMode val="edge"/>
              <c:yMode val="edge"/>
              <c:x val="0.47953353302475393"/>
              <c:y val="0.8297901075953969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207505088"/>
        <c:crosses val="autoZero"/>
        <c:crossBetween val="midCat"/>
      </c:valAx>
      <c:valAx>
        <c:axId val="207505088"/>
        <c:scaling>
          <c:orientation val="minMax"/>
        </c:scaling>
        <c:delete val="0"/>
        <c:axPos val="l"/>
        <c:majorGridlines>
          <c:spPr>
            <a:ln w="3175">
              <a:solidFill>
                <a:srgbClr val="000000"/>
              </a:solidFill>
              <a:prstDash val="sysDash"/>
            </a:ln>
          </c:spPr>
        </c:majorGridlines>
        <c:title>
          <c:tx>
            <c:rich>
              <a:bodyPr/>
              <a:lstStyle/>
              <a:p>
                <a:pPr>
                  <a:defRPr sz="900" b="1" i="0" u="none" strike="noStrike" baseline="0">
                    <a:solidFill>
                      <a:srgbClr val="000000"/>
                    </a:solidFill>
                    <a:latin typeface="Arial"/>
                    <a:ea typeface="Arial"/>
                    <a:cs typeface="Arial"/>
                  </a:defRPr>
                </a:pPr>
                <a:r>
                  <a:t>Gewinn</a:t>
                </a:r>
              </a:p>
            </c:rich>
          </c:tx>
          <c:layout>
            <c:manualLayout>
              <c:xMode val="edge"/>
              <c:yMode val="edge"/>
              <c:x val="4.0935789404552163E-2"/>
              <c:y val="0.34042671080836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207504512"/>
        <c:crosses val="autoZero"/>
        <c:crossBetween val="midCat"/>
      </c:valAx>
      <c:spPr>
        <a:noFill/>
        <a:ln w="25400">
          <a:noFill/>
        </a:ln>
      </c:spPr>
    </c:plotArea>
    <c:legend>
      <c:legendPos val="r"/>
      <c:layout>
        <c:manualLayout>
          <c:xMode val="edge"/>
          <c:yMode val="edge"/>
          <c:x val="0.16081917266074064"/>
          <c:y val="0.84397455387907894"/>
          <c:w val="0.69006044996245075"/>
          <c:h val="0.145390574407740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298300719288877"/>
          <c:y val="5.6737785134727999E-2"/>
          <c:w val="0.76608405885661912"/>
          <c:h val="0.73404509518054351"/>
        </c:manualLayout>
      </c:layout>
      <c:scatterChart>
        <c:scatterStyle val="smoothMarker"/>
        <c:varyColors val="0"/>
        <c:ser>
          <c:idx val="0"/>
          <c:order val="0"/>
          <c:tx>
            <c:strRef>
              <c:f>'Aufg. 10.8c'!$J$10</c:f>
              <c:strCache>
                <c:ptCount val="1"/>
                <c:pt idx="0">
                  <c:v>Long Call</c:v>
                </c:pt>
              </c:strCache>
            </c:strRef>
          </c:tx>
          <c:spPr>
            <a:ln w="12700">
              <a:solidFill>
                <a:srgbClr val="000080"/>
              </a:solidFill>
              <a:prstDash val="solid"/>
            </a:ln>
          </c:spPr>
          <c:marker>
            <c:symbol val="none"/>
          </c:marker>
          <c:xVal>
            <c:numRef>
              <c:f>'Aufg. 10.8c'!$I$11:$I$14</c:f>
              <c:numCache>
                <c:formatCode>General</c:formatCode>
                <c:ptCount val="4"/>
                <c:pt idx="0" formatCode="#,##0.00">
                  <c:v>0</c:v>
                </c:pt>
                <c:pt idx="1">
                  <c:v>30</c:v>
                </c:pt>
                <c:pt idx="2">
                  <c:v>35</c:v>
                </c:pt>
                <c:pt idx="3" formatCode="#,##0.00">
                  <c:v>85</c:v>
                </c:pt>
              </c:numCache>
            </c:numRef>
          </c:xVal>
          <c:yVal>
            <c:numRef>
              <c:f>'Aufg. 10.8c'!$J$11:$J$14</c:f>
              <c:numCache>
                <c:formatCode>#,##0.00</c:formatCode>
                <c:ptCount val="4"/>
                <c:pt idx="0">
                  <c:v>-4</c:v>
                </c:pt>
                <c:pt idx="1">
                  <c:v>-4</c:v>
                </c:pt>
                <c:pt idx="2">
                  <c:v>-4</c:v>
                </c:pt>
                <c:pt idx="3">
                  <c:v>46</c:v>
                </c:pt>
              </c:numCache>
            </c:numRef>
          </c:yVal>
          <c:smooth val="0"/>
        </c:ser>
        <c:ser>
          <c:idx val="1"/>
          <c:order val="1"/>
          <c:tx>
            <c:strRef>
              <c:f>'Aufg. 10.8c'!$K$10</c:f>
              <c:strCache>
                <c:ptCount val="1"/>
                <c:pt idx="0">
                  <c:v>Short Call</c:v>
                </c:pt>
              </c:strCache>
            </c:strRef>
          </c:tx>
          <c:spPr>
            <a:ln w="12700">
              <a:solidFill>
                <a:srgbClr val="FF00FF"/>
              </a:solidFill>
              <a:prstDash val="solid"/>
            </a:ln>
          </c:spPr>
          <c:marker>
            <c:symbol val="none"/>
          </c:marker>
          <c:xVal>
            <c:numRef>
              <c:f>'Aufg. 10.8c'!$I$11:$I$14</c:f>
              <c:numCache>
                <c:formatCode>General</c:formatCode>
                <c:ptCount val="4"/>
                <c:pt idx="0" formatCode="#,##0.00">
                  <c:v>0</c:v>
                </c:pt>
                <c:pt idx="1">
                  <c:v>30</c:v>
                </c:pt>
                <c:pt idx="2">
                  <c:v>35</c:v>
                </c:pt>
                <c:pt idx="3" formatCode="#,##0.00">
                  <c:v>85</c:v>
                </c:pt>
              </c:numCache>
            </c:numRef>
          </c:xVal>
          <c:yVal>
            <c:numRef>
              <c:f>'Aufg. 10.8c'!$K$11:$K$14</c:f>
              <c:numCache>
                <c:formatCode>General</c:formatCode>
                <c:ptCount val="4"/>
                <c:pt idx="0">
                  <c:v>7</c:v>
                </c:pt>
                <c:pt idx="1">
                  <c:v>7</c:v>
                </c:pt>
                <c:pt idx="2">
                  <c:v>2</c:v>
                </c:pt>
                <c:pt idx="3">
                  <c:v>-48</c:v>
                </c:pt>
              </c:numCache>
            </c:numRef>
          </c:yVal>
          <c:smooth val="0"/>
        </c:ser>
        <c:ser>
          <c:idx val="2"/>
          <c:order val="2"/>
          <c:tx>
            <c:strRef>
              <c:f>'Aufg. 10.8c'!$L$10</c:f>
              <c:strCache>
                <c:ptCount val="1"/>
                <c:pt idx="0">
                  <c:v>Long Put</c:v>
                </c:pt>
              </c:strCache>
            </c:strRef>
          </c:tx>
          <c:spPr>
            <a:ln w="12700">
              <a:solidFill>
                <a:srgbClr val="3366FF"/>
              </a:solidFill>
              <a:prstDash val="solid"/>
            </a:ln>
          </c:spPr>
          <c:marker>
            <c:symbol val="none"/>
          </c:marker>
          <c:xVal>
            <c:numRef>
              <c:f>'Aufg. 10.8c'!$I$11:$I$14</c:f>
              <c:numCache>
                <c:formatCode>General</c:formatCode>
                <c:ptCount val="4"/>
                <c:pt idx="0" formatCode="#,##0.00">
                  <c:v>0</c:v>
                </c:pt>
                <c:pt idx="1">
                  <c:v>30</c:v>
                </c:pt>
                <c:pt idx="2">
                  <c:v>35</c:v>
                </c:pt>
                <c:pt idx="3" formatCode="#,##0.00">
                  <c:v>85</c:v>
                </c:pt>
              </c:numCache>
            </c:numRef>
          </c:xVal>
          <c:yVal>
            <c:numRef>
              <c:f>'Aufg. 10.8c'!$L$11:$L$14</c:f>
              <c:numCache>
                <c:formatCode>General</c:formatCode>
                <c:ptCount val="4"/>
                <c:pt idx="0">
                  <c:v>0</c:v>
                </c:pt>
                <c:pt idx="1">
                  <c:v>0</c:v>
                </c:pt>
                <c:pt idx="2">
                  <c:v>0</c:v>
                </c:pt>
                <c:pt idx="3">
                  <c:v>0</c:v>
                </c:pt>
              </c:numCache>
            </c:numRef>
          </c:yVal>
          <c:smooth val="0"/>
        </c:ser>
        <c:ser>
          <c:idx val="3"/>
          <c:order val="3"/>
          <c:tx>
            <c:strRef>
              <c:f>'Aufg. 10.8c'!$M$10</c:f>
              <c:strCache>
                <c:ptCount val="1"/>
                <c:pt idx="0">
                  <c:v>Short-Put</c:v>
                </c:pt>
              </c:strCache>
            </c:strRef>
          </c:tx>
          <c:spPr>
            <a:ln w="12700">
              <a:solidFill>
                <a:srgbClr val="00FFFF"/>
              </a:solidFill>
              <a:prstDash val="solid"/>
            </a:ln>
          </c:spPr>
          <c:marker>
            <c:symbol val="none"/>
          </c:marker>
          <c:xVal>
            <c:numRef>
              <c:f>'Aufg. 10.8c'!$I$11:$I$14</c:f>
              <c:numCache>
                <c:formatCode>General</c:formatCode>
                <c:ptCount val="4"/>
                <c:pt idx="0" formatCode="#,##0.00">
                  <c:v>0</c:v>
                </c:pt>
                <c:pt idx="1">
                  <c:v>30</c:v>
                </c:pt>
                <c:pt idx="2">
                  <c:v>35</c:v>
                </c:pt>
                <c:pt idx="3" formatCode="#,##0.00">
                  <c:v>85</c:v>
                </c:pt>
              </c:numCache>
            </c:numRef>
          </c:xVal>
          <c:yVal>
            <c:numRef>
              <c:f>'Aufg. 10.8c'!$M$11:$M$14</c:f>
              <c:numCache>
                <c:formatCode>General</c:formatCode>
                <c:ptCount val="4"/>
                <c:pt idx="0">
                  <c:v>0</c:v>
                </c:pt>
                <c:pt idx="1">
                  <c:v>0</c:v>
                </c:pt>
                <c:pt idx="2">
                  <c:v>0</c:v>
                </c:pt>
                <c:pt idx="3">
                  <c:v>0</c:v>
                </c:pt>
              </c:numCache>
            </c:numRef>
          </c:yVal>
          <c:smooth val="1"/>
        </c:ser>
        <c:ser>
          <c:idx val="4"/>
          <c:order val="4"/>
          <c:tx>
            <c:strRef>
              <c:f>'Aufg. 10.8c'!$N$10</c:f>
              <c:strCache>
                <c:ptCount val="1"/>
                <c:pt idx="0">
                  <c:v>Gesamt</c:v>
                </c:pt>
              </c:strCache>
            </c:strRef>
          </c:tx>
          <c:spPr>
            <a:ln w="25400">
              <a:solidFill>
                <a:srgbClr val="800080"/>
              </a:solidFill>
              <a:prstDash val="solid"/>
            </a:ln>
          </c:spPr>
          <c:marker>
            <c:symbol val="none"/>
          </c:marker>
          <c:xVal>
            <c:numRef>
              <c:f>'Aufg. 10.8c'!$I$11:$I$14</c:f>
              <c:numCache>
                <c:formatCode>General</c:formatCode>
                <c:ptCount val="4"/>
                <c:pt idx="0" formatCode="#,##0.00">
                  <c:v>0</c:v>
                </c:pt>
                <c:pt idx="1">
                  <c:v>30</c:v>
                </c:pt>
                <c:pt idx="2">
                  <c:v>35</c:v>
                </c:pt>
                <c:pt idx="3" formatCode="#,##0.00">
                  <c:v>85</c:v>
                </c:pt>
              </c:numCache>
            </c:numRef>
          </c:xVal>
          <c:yVal>
            <c:numRef>
              <c:f>'Aufg. 10.8c'!$N$11:$N$14</c:f>
              <c:numCache>
                <c:formatCode>#,##0.00</c:formatCode>
                <c:ptCount val="4"/>
                <c:pt idx="0">
                  <c:v>3</c:v>
                </c:pt>
                <c:pt idx="1">
                  <c:v>3</c:v>
                </c:pt>
                <c:pt idx="2">
                  <c:v>-2</c:v>
                </c:pt>
                <c:pt idx="3">
                  <c:v>-2</c:v>
                </c:pt>
              </c:numCache>
            </c:numRef>
          </c:yVal>
          <c:smooth val="0"/>
        </c:ser>
        <c:dLbls>
          <c:showLegendKey val="0"/>
          <c:showVal val="0"/>
          <c:showCatName val="0"/>
          <c:showSerName val="0"/>
          <c:showPercent val="0"/>
          <c:showBubbleSize val="0"/>
        </c:dLbls>
        <c:axId val="207507392"/>
        <c:axId val="207507968"/>
      </c:scatterChart>
      <c:valAx>
        <c:axId val="207507392"/>
        <c:scaling>
          <c:orientation val="minMax"/>
          <c:max val="87"/>
          <c:min val="0"/>
        </c:scaling>
        <c:delete val="0"/>
        <c:axPos val="b"/>
        <c:title>
          <c:tx>
            <c:rich>
              <a:bodyPr/>
              <a:lstStyle/>
              <a:p>
                <a:pPr>
                  <a:defRPr sz="900" b="1" i="0" u="none" strike="noStrike" baseline="0">
                    <a:solidFill>
                      <a:srgbClr val="000000"/>
                    </a:solidFill>
                    <a:latin typeface="Arial"/>
                    <a:ea typeface="Arial"/>
                    <a:cs typeface="Arial"/>
                  </a:defRPr>
                </a:pPr>
                <a:r>
                  <a:t>Aktienkurs</a:t>
                </a:r>
              </a:p>
            </c:rich>
          </c:tx>
          <c:layout>
            <c:manualLayout>
              <c:xMode val="edge"/>
              <c:yMode val="edge"/>
              <c:x val="0.47953353302475393"/>
              <c:y val="0.8297901075953969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207507968"/>
        <c:crosses val="autoZero"/>
        <c:crossBetween val="midCat"/>
      </c:valAx>
      <c:valAx>
        <c:axId val="207507968"/>
        <c:scaling>
          <c:orientation val="minMax"/>
          <c:max val="20"/>
          <c:min val="-20"/>
        </c:scaling>
        <c:delete val="0"/>
        <c:axPos val="l"/>
        <c:majorGridlines>
          <c:spPr>
            <a:ln w="3175">
              <a:solidFill>
                <a:srgbClr val="000000"/>
              </a:solidFill>
              <a:prstDash val="sysDash"/>
            </a:ln>
          </c:spPr>
        </c:majorGridlines>
        <c:title>
          <c:tx>
            <c:rich>
              <a:bodyPr/>
              <a:lstStyle/>
              <a:p>
                <a:pPr>
                  <a:defRPr sz="900" b="1" i="0" u="none" strike="noStrike" baseline="0">
                    <a:solidFill>
                      <a:srgbClr val="000000"/>
                    </a:solidFill>
                    <a:latin typeface="Arial"/>
                    <a:ea typeface="Arial"/>
                    <a:cs typeface="Arial"/>
                  </a:defRPr>
                </a:pPr>
                <a:r>
                  <a:t>Gewinn</a:t>
                </a:r>
              </a:p>
            </c:rich>
          </c:tx>
          <c:layout>
            <c:manualLayout>
              <c:xMode val="edge"/>
              <c:yMode val="edge"/>
              <c:x val="4.0935789404552163E-2"/>
              <c:y val="0.34042671080836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207507392"/>
        <c:crosses val="autoZero"/>
        <c:crossBetween val="midCat"/>
      </c:valAx>
      <c:spPr>
        <a:noFill/>
        <a:ln w="25400">
          <a:noFill/>
        </a:ln>
      </c:spPr>
    </c:plotArea>
    <c:legend>
      <c:legendPos val="r"/>
      <c:layout>
        <c:manualLayout>
          <c:xMode val="edge"/>
          <c:yMode val="edge"/>
          <c:x val="0.16081917266074064"/>
          <c:y val="0.84397455387907894"/>
          <c:w val="0.69006044996245075"/>
          <c:h val="0.145390574407740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496688741721857"/>
          <c:y val="0.10638319976562452"/>
          <c:w val="0.69867549668874174"/>
          <c:h val="0.68510780649062186"/>
        </c:manualLayout>
      </c:layout>
      <c:barChart>
        <c:barDir val="col"/>
        <c:grouping val="clustered"/>
        <c:varyColors val="0"/>
        <c:ser>
          <c:idx val="0"/>
          <c:order val="0"/>
          <c:spPr>
            <a:solidFill>
              <a:srgbClr val="8080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val>
            <c:numRef>
              <c:f>'Aufg. 10.12'!$B$14:$B$15</c:f>
              <c:numCache>
                <c:formatCode>#,##0.00</c:formatCode>
                <c:ptCount val="2"/>
                <c:pt idx="0">
                  <c:v>0</c:v>
                </c:pt>
                <c:pt idx="1">
                  <c:v>-12543.765335097742</c:v>
                </c:pt>
              </c:numCache>
            </c:numRef>
          </c:val>
        </c:ser>
        <c:dLbls>
          <c:showLegendKey val="0"/>
          <c:showVal val="1"/>
          <c:showCatName val="0"/>
          <c:showSerName val="0"/>
          <c:showPercent val="0"/>
          <c:showBubbleSize val="0"/>
        </c:dLbls>
        <c:gapWidth val="150"/>
        <c:axId val="207724544"/>
        <c:axId val="207510272"/>
      </c:barChart>
      <c:catAx>
        <c:axId val="207724544"/>
        <c:scaling>
          <c:orientation val="minMax"/>
        </c:scaling>
        <c:delete val="0"/>
        <c:axPos val="b"/>
        <c:title>
          <c:tx>
            <c:rich>
              <a:bodyPr/>
              <a:lstStyle/>
              <a:p>
                <a:pPr>
                  <a:defRPr sz="800" b="1" i="0" u="none" strike="noStrike" baseline="0">
                    <a:solidFill>
                      <a:srgbClr val="000000"/>
                    </a:solidFill>
                    <a:latin typeface="Arial"/>
                    <a:ea typeface="Arial"/>
                    <a:cs typeface="Arial"/>
                  </a:defRPr>
                </a:pPr>
                <a:r>
                  <a:t>Einsatz                      Gewinn</a:t>
                </a:r>
              </a:p>
            </c:rich>
          </c:tx>
          <c:layout>
            <c:manualLayout>
              <c:xMode val="edge"/>
              <c:yMode val="edge"/>
              <c:x val="0.35430463576158938"/>
              <c:y val="0.83404428616249615"/>
            </c:manualLayout>
          </c:layout>
          <c:overlay val="0"/>
          <c:spPr>
            <a:noFill/>
            <a:ln w="25400">
              <a:noFill/>
            </a:ln>
          </c:spPr>
        </c:title>
        <c:majorTickMark val="cross"/>
        <c:minorTickMark val="none"/>
        <c:tickLblPos val="none"/>
        <c:spPr>
          <a:ln w="3175">
            <a:solidFill>
              <a:srgbClr val="000000"/>
            </a:solidFill>
            <a:prstDash val="solid"/>
          </a:ln>
        </c:spPr>
        <c:crossAx val="207510272"/>
        <c:crosses val="autoZero"/>
        <c:auto val="0"/>
        <c:lblAlgn val="ctr"/>
        <c:lblOffset val="100"/>
        <c:tickMarkSkip val="1"/>
        <c:noMultiLvlLbl val="0"/>
      </c:catAx>
      <c:valAx>
        <c:axId val="207510272"/>
        <c:scaling>
          <c:orientation val="minMax"/>
        </c:scaling>
        <c:delete val="0"/>
        <c:axPos val="l"/>
        <c:numFmt formatCode="#,##0.0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0772454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984251969" l="0.78740157499999996" r="0.78740157499999996" t="0.984251969" header="0.51181102300000003" footer="0.51181102300000003"/>
    <c:pageSetup paperSize="9" orientation="landscape" horizontalDpi="-4"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175910656731689"/>
          <c:y val="8.9887969218052213E-2"/>
          <c:w val="0.69963620233875035"/>
          <c:h val="0.8277183832162307"/>
        </c:manualLayout>
      </c:layout>
      <c:scatterChart>
        <c:scatterStyle val="smoothMarker"/>
        <c:varyColors val="0"/>
        <c:ser>
          <c:idx val="0"/>
          <c:order val="0"/>
          <c:tx>
            <c:strRef>
              <c:f>'Beisp. 10.4.1'!$E$25</c:f>
              <c:strCache>
                <c:ptCount val="1"/>
                <c:pt idx="0">
                  <c:v>Put</c:v>
                </c:pt>
              </c:strCache>
            </c:strRef>
          </c:tx>
          <c:spPr>
            <a:ln w="12700">
              <a:solidFill>
                <a:srgbClr val="000080"/>
              </a:solidFill>
              <a:prstDash val="solid"/>
            </a:ln>
          </c:spPr>
          <c:marker>
            <c:symbol val="none"/>
          </c:marker>
          <c:xVal>
            <c:numRef>
              <c:f>'Beisp. 10.4.1'!$D$26:$D$28</c:f>
              <c:numCache>
                <c:formatCode>General</c:formatCode>
                <c:ptCount val="3"/>
                <c:pt idx="0">
                  <c:v>0</c:v>
                </c:pt>
                <c:pt idx="1">
                  <c:v>35</c:v>
                </c:pt>
                <c:pt idx="2">
                  <c:v>60</c:v>
                </c:pt>
              </c:numCache>
            </c:numRef>
          </c:xVal>
          <c:yVal>
            <c:numRef>
              <c:f>'Beisp. 10.4.1'!$E$26:$E$28</c:f>
              <c:numCache>
                <c:formatCode>#,##0.00</c:formatCode>
                <c:ptCount val="3"/>
                <c:pt idx="0">
                  <c:v>33.200000000000003</c:v>
                </c:pt>
                <c:pt idx="1">
                  <c:v>-1.8</c:v>
                </c:pt>
                <c:pt idx="2">
                  <c:v>-1.8</c:v>
                </c:pt>
              </c:numCache>
            </c:numRef>
          </c:yVal>
          <c:smooth val="0"/>
        </c:ser>
        <c:ser>
          <c:idx val="1"/>
          <c:order val="1"/>
          <c:tx>
            <c:strRef>
              <c:f>'Beisp. 10.4.1'!$F$10</c:f>
              <c:strCache>
                <c:ptCount val="1"/>
                <c:pt idx="0">
                  <c:v>Aktie</c:v>
                </c:pt>
              </c:strCache>
            </c:strRef>
          </c:tx>
          <c:spPr>
            <a:ln w="12700">
              <a:solidFill>
                <a:srgbClr val="000000"/>
              </a:solidFill>
              <a:prstDash val="sysDash"/>
            </a:ln>
          </c:spPr>
          <c:marker>
            <c:symbol val="none"/>
          </c:marker>
          <c:xVal>
            <c:numRef>
              <c:f>'Beisp. 10.4.1'!$D$26:$D$28</c:f>
              <c:numCache>
                <c:formatCode>General</c:formatCode>
                <c:ptCount val="3"/>
                <c:pt idx="0">
                  <c:v>0</c:v>
                </c:pt>
                <c:pt idx="1">
                  <c:v>35</c:v>
                </c:pt>
                <c:pt idx="2">
                  <c:v>60</c:v>
                </c:pt>
              </c:numCache>
            </c:numRef>
          </c:xVal>
          <c:yVal>
            <c:numRef>
              <c:f>'Beisp. 10.4.1'!$F$26:$F$28</c:f>
              <c:numCache>
                <c:formatCode>General</c:formatCode>
                <c:ptCount val="3"/>
                <c:pt idx="0">
                  <c:v>-34</c:v>
                </c:pt>
                <c:pt idx="1">
                  <c:v>1</c:v>
                </c:pt>
                <c:pt idx="2">
                  <c:v>26</c:v>
                </c:pt>
              </c:numCache>
            </c:numRef>
          </c:yVal>
          <c:smooth val="1"/>
        </c:ser>
        <c:dLbls>
          <c:showLegendKey val="0"/>
          <c:showVal val="0"/>
          <c:showCatName val="0"/>
          <c:showSerName val="0"/>
          <c:showPercent val="0"/>
          <c:showBubbleSize val="0"/>
        </c:dLbls>
        <c:axId val="203050368"/>
        <c:axId val="203050944"/>
      </c:scatterChart>
      <c:valAx>
        <c:axId val="203050368"/>
        <c:scaling>
          <c:orientation val="minMax"/>
          <c:max val="60"/>
        </c:scaling>
        <c:delete val="0"/>
        <c:axPos val="b"/>
        <c:title>
          <c:tx>
            <c:rich>
              <a:bodyPr/>
              <a:lstStyle/>
              <a:p>
                <a:pPr>
                  <a:defRPr sz="1000" b="1" i="0" u="none" strike="noStrike" baseline="0">
                    <a:solidFill>
                      <a:srgbClr val="000000"/>
                    </a:solidFill>
                    <a:latin typeface="Arial"/>
                    <a:ea typeface="Arial"/>
                    <a:cs typeface="Arial"/>
                  </a:defRPr>
                </a:pPr>
                <a:r>
                  <a:rPr lang="de-DE"/>
                  <a:t>Aktienkurs</a:t>
                </a:r>
              </a:p>
            </c:rich>
          </c:tx>
          <c:layout>
            <c:manualLayout>
              <c:xMode val="edge"/>
              <c:yMode val="edge"/>
              <c:x val="0.72894033646812206"/>
              <c:y val="0.59925312812034803"/>
            </c:manualLayout>
          </c:layout>
          <c:overlay val="0"/>
          <c:spPr>
            <a:noFill/>
            <a:ln w="25400">
              <a:noFill/>
            </a:ln>
          </c:spPr>
        </c:title>
        <c:numFmt formatCode="#;#;#" sourceLinked="0"/>
        <c:majorTickMark val="cross"/>
        <c:minorTickMark val="cross"/>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03050944"/>
        <c:crossesAt val="0.1"/>
        <c:crossBetween val="midCat"/>
        <c:minorUnit val="5"/>
      </c:valAx>
      <c:valAx>
        <c:axId val="203050944"/>
        <c:scaling>
          <c:orientation val="minMax"/>
          <c:max val="40"/>
        </c:scaling>
        <c:delete val="0"/>
        <c:axPos val="l"/>
        <c:title>
          <c:tx>
            <c:rich>
              <a:bodyPr/>
              <a:lstStyle/>
              <a:p>
                <a:pPr>
                  <a:defRPr sz="1000" b="1" i="0" u="none" strike="noStrike" baseline="0">
                    <a:solidFill>
                      <a:srgbClr val="000000"/>
                    </a:solidFill>
                    <a:latin typeface="Arial"/>
                    <a:ea typeface="Arial"/>
                    <a:cs typeface="Arial"/>
                  </a:defRPr>
                </a:pPr>
                <a:r>
                  <a:rPr lang="de-DE"/>
                  <a:t>Gewinn</a:t>
                </a:r>
              </a:p>
            </c:rich>
          </c:tx>
          <c:layout>
            <c:manualLayout>
              <c:xMode val="edge"/>
              <c:yMode val="edge"/>
              <c:x val="6.2271285024914955E-2"/>
              <c:y val="0.4044958614812349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03050368"/>
        <c:crossesAt val="0"/>
        <c:crossBetween val="midCat"/>
      </c:valAx>
      <c:spPr>
        <a:noFill/>
        <a:ln w="25400">
          <a:noFill/>
        </a:ln>
      </c:spPr>
    </c:plotArea>
    <c:legend>
      <c:legendPos val="r"/>
      <c:layout>
        <c:manualLayout>
          <c:xMode val="edge"/>
          <c:yMode val="edge"/>
          <c:x val="0.63003888378149242"/>
          <c:y val="0.790265062708709"/>
          <c:w val="0.27472625746286011"/>
          <c:h val="0.1460679499793348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de-DE"/>
              <a:t>Call</a:t>
            </a:r>
          </a:p>
        </c:rich>
      </c:tx>
      <c:layout>
        <c:manualLayout>
          <c:xMode val="edge"/>
          <c:yMode val="edge"/>
          <c:x val="0.32870518982019414"/>
          <c:y val="0.72874637989147084"/>
        </c:manualLayout>
      </c:layout>
      <c:overlay val="0"/>
      <c:spPr>
        <a:noFill/>
        <a:ln w="25400">
          <a:noFill/>
        </a:ln>
      </c:spPr>
    </c:title>
    <c:autoTitleDeleted val="0"/>
    <c:plotArea>
      <c:layout>
        <c:manualLayout>
          <c:layoutTarget val="inner"/>
          <c:xMode val="edge"/>
          <c:yMode val="edge"/>
          <c:x val="0.2962976358942595"/>
          <c:y val="6.4777455990352964E-2"/>
          <c:w val="0.6388917773969971"/>
          <c:h val="0.79352383588182385"/>
        </c:manualLayout>
      </c:layout>
      <c:scatterChart>
        <c:scatterStyle val="smoothMarker"/>
        <c:varyColors val="0"/>
        <c:ser>
          <c:idx val="0"/>
          <c:order val="0"/>
          <c:tx>
            <c:strRef>
              <c:f>'Beisp. 10.4.3a'!$J$10</c:f>
              <c:strCache>
                <c:ptCount val="1"/>
                <c:pt idx="0">
                  <c:v>Long Call</c:v>
                </c:pt>
              </c:strCache>
            </c:strRef>
          </c:tx>
          <c:spPr>
            <a:ln w="12700">
              <a:solidFill>
                <a:srgbClr val="000080"/>
              </a:solidFill>
              <a:prstDash val="solid"/>
            </a:ln>
          </c:spPr>
          <c:marker>
            <c:symbol val="none"/>
          </c:marker>
          <c:xVal>
            <c:numRef>
              <c:f>'Beisp. 10.4.3a'!$I$11:$I$14</c:f>
              <c:numCache>
                <c:formatCode>General</c:formatCode>
                <c:ptCount val="4"/>
                <c:pt idx="0" formatCode="#,##0.00">
                  <c:v>0</c:v>
                </c:pt>
                <c:pt idx="1">
                  <c:v>30</c:v>
                </c:pt>
                <c:pt idx="2">
                  <c:v>35</c:v>
                </c:pt>
                <c:pt idx="3" formatCode="#,##0.00">
                  <c:v>60</c:v>
                </c:pt>
              </c:numCache>
            </c:numRef>
          </c:xVal>
          <c:yVal>
            <c:numRef>
              <c:f>'Beisp. 10.4.3a'!$J$11:$J$14</c:f>
              <c:numCache>
                <c:formatCode>#,##0.00</c:formatCode>
                <c:ptCount val="4"/>
                <c:pt idx="0">
                  <c:v>-4</c:v>
                </c:pt>
                <c:pt idx="1">
                  <c:v>-4</c:v>
                </c:pt>
                <c:pt idx="2">
                  <c:v>1</c:v>
                </c:pt>
                <c:pt idx="3">
                  <c:v>26</c:v>
                </c:pt>
              </c:numCache>
            </c:numRef>
          </c:yVal>
          <c:smooth val="0"/>
        </c:ser>
        <c:ser>
          <c:idx val="2"/>
          <c:order val="1"/>
          <c:tx>
            <c:strRef>
              <c:f>'Beisp. 10.4.3a'!$L$10</c:f>
              <c:strCache>
                <c:ptCount val="1"/>
                <c:pt idx="0">
                  <c:v>Long Put</c:v>
                </c:pt>
              </c:strCache>
            </c:strRef>
          </c:tx>
          <c:spPr>
            <a:ln w="12700">
              <a:solidFill>
                <a:srgbClr val="3366FF"/>
              </a:solidFill>
              <a:prstDash val="sysDash"/>
            </a:ln>
          </c:spPr>
          <c:marker>
            <c:symbol val="none"/>
          </c:marker>
          <c:xVal>
            <c:numRef>
              <c:f>'Beisp. 10.4.3a'!$I$11:$I$14</c:f>
              <c:numCache>
                <c:formatCode>General</c:formatCode>
                <c:ptCount val="4"/>
                <c:pt idx="0" formatCode="#,##0.00">
                  <c:v>0</c:v>
                </c:pt>
                <c:pt idx="1">
                  <c:v>30</c:v>
                </c:pt>
                <c:pt idx="2">
                  <c:v>35</c:v>
                </c:pt>
                <c:pt idx="3" formatCode="#,##0.00">
                  <c:v>60</c:v>
                </c:pt>
              </c:numCache>
            </c:numRef>
          </c:xVal>
          <c:yVal>
            <c:numRef>
              <c:f>'Beisp. 10.4.3a'!$L$11:$L$14</c:f>
              <c:numCache>
                <c:formatCode>General</c:formatCode>
                <c:ptCount val="4"/>
                <c:pt idx="0">
                  <c:v>27</c:v>
                </c:pt>
                <c:pt idx="1">
                  <c:v>-3</c:v>
                </c:pt>
                <c:pt idx="2">
                  <c:v>-3</c:v>
                </c:pt>
                <c:pt idx="3">
                  <c:v>-3</c:v>
                </c:pt>
              </c:numCache>
            </c:numRef>
          </c:yVal>
          <c:smooth val="0"/>
        </c:ser>
        <c:ser>
          <c:idx val="4"/>
          <c:order val="2"/>
          <c:tx>
            <c:strRef>
              <c:f>'Beisp. 10.4.3a'!$N$10</c:f>
              <c:strCache>
                <c:ptCount val="1"/>
                <c:pt idx="0">
                  <c:v>Gesamt</c:v>
                </c:pt>
              </c:strCache>
            </c:strRef>
          </c:tx>
          <c:spPr>
            <a:ln w="25400">
              <a:solidFill>
                <a:srgbClr val="000000"/>
              </a:solidFill>
              <a:prstDash val="solid"/>
            </a:ln>
          </c:spPr>
          <c:marker>
            <c:symbol val="none"/>
          </c:marker>
          <c:xVal>
            <c:numRef>
              <c:f>'Beisp. 10.4.3a'!$I$11:$I$14</c:f>
              <c:numCache>
                <c:formatCode>General</c:formatCode>
                <c:ptCount val="4"/>
                <c:pt idx="0" formatCode="#,##0.00">
                  <c:v>0</c:v>
                </c:pt>
                <c:pt idx="1">
                  <c:v>30</c:v>
                </c:pt>
                <c:pt idx="2">
                  <c:v>35</c:v>
                </c:pt>
                <c:pt idx="3" formatCode="#,##0.00">
                  <c:v>60</c:v>
                </c:pt>
              </c:numCache>
            </c:numRef>
          </c:xVal>
          <c:yVal>
            <c:numRef>
              <c:f>'Beisp. 10.4.3a'!$N$11:$N$14</c:f>
              <c:numCache>
                <c:formatCode>#,##0.00</c:formatCode>
                <c:ptCount val="4"/>
                <c:pt idx="0">
                  <c:v>23</c:v>
                </c:pt>
                <c:pt idx="1">
                  <c:v>-7</c:v>
                </c:pt>
                <c:pt idx="2">
                  <c:v>-2</c:v>
                </c:pt>
                <c:pt idx="3">
                  <c:v>23</c:v>
                </c:pt>
              </c:numCache>
            </c:numRef>
          </c:yVal>
          <c:smooth val="0"/>
        </c:ser>
        <c:dLbls>
          <c:showLegendKey val="0"/>
          <c:showVal val="0"/>
          <c:showCatName val="0"/>
          <c:showSerName val="0"/>
          <c:showPercent val="0"/>
          <c:showBubbleSize val="0"/>
        </c:dLbls>
        <c:axId val="203053248"/>
        <c:axId val="203053824"/>
      </c:scatterChart>
      <c:valAx>
        <c:axId val="203053248"/>
        <c:scaling>
          <c:orientation val="minMax"/>
          <c:max val="62"/>
          <c:min val="0"/>
        </c:scaling>
        <c:delete val="0"/>
        <c:axPos val="b"/>
        <c:title>
          <c:tx>
            <c:rich>
              <a:bodyPr/>
              <a:lstStyle/>
              <a:p>
                <a:pPr>
                  <a:defRPr sz="975" b="1" i="0" u="none" strike="noStrike" baseline="0">
                    <a:solidFill>
                      <a:srgbClr val="000000"/>
                    </a:solidFill>
                    <a:latin typeface="Arial"/>
                    <a:ea typeface="Arial"/>
                    <a:cs typeface="Arial"/>
                  </a:defRPr>
                </a:pPr>
                <a:r>
                  <a:rPr lang="de-DE"/>
                  <a:t>Aktienkurs</a:t>
                </a:r>
              </a:p>
            </c:rich>
          </c:tx>
          <c:layout>
            <c:manualLayout>
              <c:xMode val="edge"/>
              <c:yMode val="edge"/>
              <c:x val="0.45370575496308485"/>
              <c:y val="0.8906900198673533"/>
            </c:manualLayout>
          </c:layout>
          <c:overlay val="0"/>
          <c:spPr>
            <a:noFill/>
            <a:ln w="25400">
              <a:noFill/>
            </a:ln>
          </c:spPr>
        </c:title>
        <c:numFmt formatCode="#;#;#" sourceLinked="0"/>
        <c:majorTickMark val="out"/>
        <c:minorTickMark val="cross"/>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de-DE"/>
          </a:p>
        </c:txPr>
        <c:crossAx val="203053824"/>
        <c:crosses val="autoZero"/>
        <c:crossBetween val="midCat"/>
        <c:minorUnit val="10"/>
      </c:valAx>
      <c:valAx>
        <c:axId val="203053824"/>
        <c:scaling>
          <c:orientation val="minMax"/>
          <c:max val="30"/>
          <c:min val="-10"/>
        </c:scaling>
        <c:delete val="0"/>
        <c:axPos val="l"/>
        <c:majorGridlines>
          <c:spPr>
            <a:ln w="3175">
              <a:solidFill>
                <a:srgbClr val="000000"/>
              </a:solidFill>
              <a:prstDash val="sysDash"/>
            </a:ln>
          </c:spPr>
        </c:majorGridlines>
        <c:title>
          <c:tx>
            <c:rich>
              <a:bodyPr/>
              <a:lstStyle/>
              <a:p>
                <a:pPr>
                  <a:defRPr sz="975" b="1" i="0" u="none" strike="noStrike" baseline="0">
                    <a:solidFill>
                      <a:srgbClr val="000000"/>
                    </a:solidFill>
                    <a:latin typeface="Arial"/>
                    <a:ea typeface="Arial"/>
                    <a:cs typeface="Arial"/>
                  </a:defRPr>
                </a:pPr>
                <a:r>
                  <a:rPr lang="de-DE"/>
                  <a:t>Gewinn</a:t>
                </a:r>
              </a:p>
            </c:rich>
          </c:tx>
          <c:layout>
            <c:manualLayout>
              <c:xMode val="edge"/>
              <c:yMode val="edge"/>
              <c:x val="5.0926156169325852E-2"/>
              <c:y val="0.35627600794694131"/>
            </c:manualLayout>
          </c:layout>
          <c:overlay val="0"/>
          <c:spPr>
            <a:noFill/>
            <a:ln w="25400">
              <a:noFill/>
            </a:ln>
          </c:spPr>
        </c:title>
        <c:numFmt formatCode="#,##0" sourceLinked="0"/>
        <c:majorTickMark val="out"/>
        <c:minorTickMark val="in"/>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de-DE"/>
          </a:p>
        </c:txPr>
        <c:crossAx val="203053248"/>
        <c:crosses val="autoZero"/>
        <c:crossBetween val="midCat"/>
        <c:majorUnit val="10"/>
        <c:minorUnit val="2"/>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438705449499083"/>
          <c:y val="6.1224489795918366E-2"/>
          <c:w val="0.68859944061575096"/>
          <c:h val="0.80816326530612248"/>
        </c:manualLayout>
      </c:layout>
      <c:scatterChart>
        <c:scatterStyle val="smoothMarker"/>
        <c:varyColors val="0"/>
        <c:ser>
          <c:idx val="0"/>
          <c:order val="0"/>
          <c:tx>
            <c:strRef>
              <c:f>'Beisp. 10.4.3b'!$J$10</c:f>
              <c:strCache>
                <c:ptCount val="1"/>
                <c:pt idx="0">
                  <c:v>Long Call</c:v>
                </c:pt>
              </c:strCache>
            </c:strRef>
          </c:tx>
          <c:spPr>
            <a:ln w="12700">
              <a:solidFill>
                <a:srgbClr val="000000"/>
              </a:solidFill>
              <a:prstDash val="sysDash"/>
            </a:ln>
          </c:spPr>
          <c:marker>
            <c:symbol val="none"/>
          </c:marker>
          <c:xVal>
            <c:numRef>
              <c:f>'Beisp. 10.4.3b'!$I$11:$I$14</c:f>
              <c:numCache>
                <c:formatCode>General</c:formatCode>
                <c:ptCount val="4"/>
                <c:pt idx="0" formatCode="#,##0.00">
                  <c:v>0</c:v>
                </c:pt>
                <c:pt idx="1">
                  <c:v>30</c:v>
                </c:pt>
                <c:pt idx="2">
                  <c:v>40</c:v>
                </c:pt>
                <c:pt idx="3" formatCode="#,##0.00">
                  <c:v>60</c:v>
                </c:pt>
              </c:numCache>
            </c:numRef>
          </c:xVal>
          <c:yVal>
            <c:numRef>
              <c:f>'Beisp. 10.4.3b'!$J$11:$J$14</c:f>
              <c:numCache>
                <c:formatCode>#,##0.00</c:formatCode>
                <c:ptCount val="4"/>
                <c:pt idx="0">
                  <c:v>-4</c:v>
                </c:pt>
                <c:pt idx="1">
                  <c:v>-4</c:v>
                </c:pt>
                <c:pt idx="2">
                  <c:v>6</c:v>
                </c:pt>
                <c:pt idx="3">
                  <c:v>26</c:v>
                </c:pt>
              </c:numCache>
            </c:numRef>
          </c:yVal>
          <c:smooth val="0"/>
        </c:ser>
        <c:ser>
          <c:idx val="1"/>
          <c:order val="1"/>
          <c:tx>
            <c:strRef>
              <c:f>'Beisp. 10.4.3b'!$K$10</c:f>
              <c:strCache>
                <c:ptCount val="1"/>
                <c:pt idx="0">
                  <c:v>Short Call</c:v>
                </c:pt>
              </c:strCache>
            </c:strRef>
          </c:tx>
          <c:spPr>
            <a:ln w="12700">
              <a:solidFill>
                <a:srgbClr val="000000"/>
              </a:solidFill>
              <a:prstDash val="solid"/>
            </a:ln>
          </c:spPr>
          <c:marker>
            <c:symbol val="none"/>
          </c:marker>
          <c:xVal>
            <c:numRef>
              <c:f>'Beisp. 10.4.3b'!$I$11:$I$14</c:f>
              <c:numCache>
                <c:formatCode>General</c:formatCode>
                <c:ptCount val="4"/>
                <c:pt idx="0" formatCode="#,##0.00">
                  <c:v>0</c:v>
                </c:pt>
                <c:pt idx="1">
                  <c:v>30</c:v>
                </c:pt>
                <c:pt idx="2">
                  <c:v>40</c:v>
                </c:pt>
                <c:pt idx="3" formatCode="#,##0.00">
                  <c:v>60</c:v>
                </c:pt>
              </c:numCache>
            </c:numRef>
          </c:xVal>
          <c:yVal>
            <c:numRef>
              <c:f>'Beisp. 10.4.3b'!$K$11:$K$14</c:f>
              <c:numCache>
                <c:formatCode>General</c:formatCode>
                <c:ptCount val="4"/>
                <c:pt idx="0">
                  <c:v>3</c:v>
                </c:pt>
                <c:pt idx="1">
                  <c:v>3</c:v>
                </c:pt>
                <c:pt idx="2">
                  <c:v>3</c:v>
                </c:pt>
                <c:pt idx="3">
                  <c:v>-17</c:v>
                </c:pt>
              </c:numCache>
            </c:numRef>
          </c:yVal>
          <c:smooth val="0"/>
        </c:ser>
        <c:ser>
          <c:idx val="2"/>
          <c:order val="2"/>
          <c:tx>
            <c:strRef>
              <c:f>'Beisp. 10.4.3b'!#REF!</c:f>
              <c:strCache>
                <c:ptCount val="1"/>
                <c:pt idx="0">
                  <c:v>#BEZUG!</c:v>
                </c:pt>
              </c:strCache>
            </c:strRef>
          </c:tx>
          <c:spPr>
            <a:ln w="25400">
              <a:solidFill>
                <a:srgbClr val="3366FF"/>
              </a:solidFill>
              <a:prstDash val="lgDash"/>
            </a:ln>
          </c:spPr>
          <c:marker>
            <c:symbol val="none"/>
          </c:marker>
          <c:xVal>
            <c:numRef>
              <c:f>'Beisp. 10.4.3b'!$I$11:$I$14</c:f>
              <c:numCache>
                <c:formatCode>General</c:formatCode>
                <c:ptCount val="4"/>
                <c:pt idx="0" formatCode="#,##0.00">
                  <c:v>0</c:v>
                </c:pt>
                <c:pt idx="1">
                  <c:v>30</c:v>
                </c:pt>
                <c:pt idx="2">
                  <c:v>40</c:v>
                </c:pt>
                <c:pt idx="3" formatCode="#,##0.00">
                  <c:v>60</c:v>
                </c:pt>
              </c:numCache>
            </c:numRef>
          </c:xVal>
          <c:yVal>
            <c:numRef>
              <c:f>'Beisp. 10.4.3b'!#REF!</c:f>
              <c:numCache>
                <c:formatCode>General</c:formatCode>
                <c:ptCount val="1"/>
                <c:pt idx="0">
                  <c:v>1</c:v>
                </c:pt>
              </c:numCache>
            </c:numRef>
          </c:yVal>
          <c:smooth val="0"/>
        </c:ser>
        <c:ser>
          <c:idx val="3"/>
          <c:order val="3"/>
          <c:tx>
            <c:strRef>
              <c:f>'Beisp. 10.4.3b'!#REF!</c:f>
              <c:strCache>
                <c:ptCount val="1"/>
                <c:pt idx="0">
                  <c:v>#BEZUG!</c:v>
                </c:pt>
              </c:strCache>
            </c:strRef>
          </c:tx>
          <c:spPr>
            <a:ln w="12700">
              <a:solidFill>
                <a:srgbClr val="00FFFF"/>
              </a:solidFill>
              <a:prstDash val="solid"/>
            </a:ln>
          </c:spPr>
          <c:marker>
            <c:symbol val="none"/>
          </c:marker>
          <c:xVal>
            <c:numRef>
              <c:f>'Beisp. 10.4.3b'!$I$11:$I$14</c:f>
              <c:numCache>
                <c:formatCode>General</c:formatCode>
                <c:ptCount val="4"/>
                <c:pt idx="0" formatCode="#,##0.00">
                  <c:v>0</c:v>
                </c:pt>
                <c:pt idx="1">
                  <c:v>30</c:v>
                </c:pt>
                <c:pt idx="2">
                  <c:v>40</c:v>
                </c:pt>
                <c:pt idx="3" formatCode="#,##0.00">
                  <c:v>60</c:v>
                </c:pt>
              </c:numCache>
            </c:numRef>
          </c:xVal>
          <c:yVal>
            <c:numRef>
              <c:f>'Beisp. 10.4.3b'!#REF!</c:f>
              <c:numCache>
                <c:formatCode>General</c:formatCode>
                <c:ptCount val="1"/>
                <c:pt idx="0">
                  <c:v>1</c:v>
                </c:pt>
              </c:numCache>
            </c:numRef>
          </c:yVal>
          <c:smooth val="1"/>
        </c:ser>
        <c:ser>
          <c:idx val="4"/>
          <c:order val="4"/>
          <c:tx>
            <c:strRef>
              <c:f>'Beisp. 10.4.3b'!$L$10</c:f>
              <c:strCache>
                <c:ptCount val="1"/>
                <c:pt idx="0">
                  <c:v>Gesamt</c:v>
                </c:pt>
              </c:strCache>
            </c:strRef>
          </c:tx>
          <c:spPr>
            <a:ln w="25400">
              <a:solidFill>
                <a:srgbClr val="000000"/>
              </a:solidFill>
              <a:prstDash val="solid"/>
            </a:ln>
          </c:spPr>
          <c:marker>
            <c:symbol val="none"/>
          </c:marker>
          <c:xVal>
            <c:numRef>
              <c:f>'Beisp. 10.4.3b'!$I$11:$I$14</c:f>
              <c:numCache>
                <c:formatCode>General</c:formatCode>
                <c:ptCount val="4"/>
                <c:pt idx="0" formatCode="#,##0.00">
                  <c:v>0</c:v>
                </c:pt>
                <c:pt idx="1">
                  <c:v>30</c:v>
                </c:pt>
                <c:pt idx="2">
                  <c:v>40</c:v>
                </c:pt>
                <c:pt idx="3" formatCode="#,##0.00">
                  <c:v>60</c:v>
                </c:pt>
              </c:numCache>
            </c:numRef>
          </c:xVal>
          <c:yVal>
            <c:numRef>
              <c:f>'Beisp. 10.4.3b'!$L$11:$L$14</c:f>
              <c:numCache>
                <c:formatCode>#,##0.00</c:formatCode>
                <c:ptCount val="4"/>
                <c:pt idx="0">
                  <c:v>-1</c:v>
                </c:pt>
                <c:pt idx="1">
                  <c:v>-1</c:v>
                </c:pt>
                <c:pt idx="2">
                  <c:v>9</c:v>
                </c:pt>
                <c:pt idx="3">
                  <c:v>9</c:v>
                </c:pt>
              </c:numCache>
            </c:numRef>
          </c:yVal>
          <c:smooth val="0"/>
        </c:ser>
        <c:dLbls>
          <c:showLegendKey val="0"/>
          <c:showVal val="0"/>
          <c:showCatName val="0"/>
          <c:showSerName val="0"/>
          <c:showPercent val="0"/>
          <c:showBubbleSize val="0"/>
        </c:dLbls>
        <c:axId val="204498048"/>
        <c:axId val="204498624"/>
      </c:scatterChart>
      <c:valAx>
        <c:axId val="204498048"/>
        <c:scaling>
          <c:orientation val="minMax"/>
          <c:max val="62"/>
          <c:min val="0"/>
        </c:scaling>
        <c:delete val="0"/>
        <c:axPos val="b"/>
        <c:title>
          <c:tx>
            <c:rich>
              <a:bodyPr/>
              <a:lstStyle/>
              <a:p>
                <a:pPr>
                  <a:defRPr sz="800" b="1" i="0" u="none" strike="noStrike" baseline="0">
                    <a:solidFill>
                      <a:srgbClr val="000000"/>
                    </a:solidFill>
                    <a:latin typeface="Arial"/>
                    <a:ea typeface="Arial"/>
                    <a:cs typeface="Arial"/>
                  </a:defRPr>
                </a:pPr>
                <a:r>
                  <a:rPr lang="de-DE"/>
                  <a:t>Aktienkurs</a:t>
                </a:r>
              </a:p>
            </c:rich>
          </c:tx>
          <c:layout>
            <c:manualLayout>
              <c:xMode val="edge"/>
              <c:yMode val="edge"/>
              <c:x val="0.45175632091351819"/>
              <c:y val="0.89795918367346939"/>
            </c:manualLayout>
          </c:layout>
          <c:overlay val="0"/>
          <c:spPr>
            <a:noFill/>
            <a:ln w="25400">
              <a:noFill/>
            </a:ln>
          </c:spPr>
        </c:title>
        <c:numFmt formatCode="#;#;#" sourceLinked="0"/>
        <c:majorTickMark val="out"/>
        <c:minorTickMark val="cross"/>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04498624"/>
        <c:crosses val="autoZero"/>
        <c:crossBetween val="midCat"/>
        <c:majorUnit val="50"/>
        <c:minorUnit val="10"/>
      </c:valAx>
      <c:valAx>
        <c:axId val="204498624"/>
        <c:scaling>
          <c:orientation val="minMax"/>
          <c:max val="15"/>
          <c:min val="-10"/>
        </c:scaling>
        <c:delete val="0"/>
        <c:axPos val="l"/>
        <c:majorGridlines>
          <c:spPr>
            <a:ln w="3175">
              <a:solidFill>
                <a:srgbClr val="000000"/>
              </a:solidFill>
              <a:prstDash val="sysDash"/>
            </a:ln>
          </c:spPr>
        </c:majorGridlines>
        <c:title>
          <c:tx>
            <c:rich>
              <a:bodyPr/>
              <a:lstStyle/>
              <a:p>
                <a:pPr>
                  <a:defRPr sz="800" b="1" i="0" u="none" strike="noStrike" baseline="0">
                    <a:solidFill>
                      <a:srgbClr val="000000"/>
                    </a:solidFill>
                    <a:latin typeface="Arial"/>
                    <a:ea typeface="Arial"/>
                    <a:cs typeface="Arial"/>
                  </a:defRPr>
                </a:pPr>
                <a:r>
                  <a:rPr lang="de-DE"/>
                  <a:t>Gewinn</a:t>
                </a:r>
              </a:p>
            </c:rich>
          </c:tx>
          <c:layout>
            <c:manualLayout>
              <c:xMode val="edge"/>
              <c:yMode val="edge"/>
              <c:x val="4.8245820680084463E-2"/>
              <c:y val="0.37142857142857144"/>
            </c:manualLayout>
          </c:layout>
          <c:overlay val="0"/>
          <c:spPr>
            <a:noFill/>
            <a:ln w="25400">
              <a:noFill/>
            </a:ln>
          </c:spPr>
        </c:title>
        <c:numFmt formatCode="#,##0" sourceLinked="0"/>
        <c:majorTickMark val="out"/>
        <c:minorTickMark val="in"/>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04498048"/>
        <c:crosses val="autoZero"/>
        <c:crossBetween val="midCat"/>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4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26530612244897"/>
          <c:y val="5.228774856945903E-2"/>
          <c:w val="0.8035714285714286"/>
          <c:h val="0.80719211854102368"/>
        </c:manualLayout>
      </c:layout>
      <c:scatterChart>
        <c:scatterStyle val="smoothMarker"/>
        <c:varyColors val="0"/>
        <c:ser>
          <c:idx val="1"/>
          <c:order val="0"/>
          <c:spPr>
            <a:ln w="12700">
              <a:solidFill>
                <a:srgbClr val="000000"/>
              </a:solidFill>
              <a:prstDash val="sysDash"/>
            </a:ln>
          </c:spPr>
          <c:marker>
            <c:symbol val="none"/>
          </c:marker>
          <c:xVal>
            <c:numRef>
              <c:f>'Wiener-Prozess'!$A$7:$A$214</c:f>
              <c:numCache>
                <c:formatCode>#\ ???/???</c:formatCode>
                <c:ptCount val="208"/>
                <c:pt idx="0" formatCode="General">
                  <c:v>0</c:v>
                </c:pt>
                <c:pt idx="1">
                  <c:v>9.6153846153846159E-3</c:v>
                </c:pt>
                <c:pt idx="2">
                  <c:v>1.4423076923076924E-2</c:v>
                </c:pt>
                <c:pt idx="3">
                  <c:v>1.9230769230769232E-2</c:v>
                </c:pt>
                <c:pt idx="4">
                  <c:v>2.403846153846154E-2</c:v>
                </c:pt>
                <c:pt idx="5">
                  <c:v>2.8846153846153848E-2</c:v>
                </c:pt>
                <c:pt idx="6">
                  <c:v>3.3653846153846159E-2</c:v>
                </c:pt>
                <c:pt idx="7">
                  <c:v>3.8461538461538464E-2</c:v>
                </c:pt>
                <c:pt idx="8">
                  <c:v>4.3269230769230768E-2</c:v>
                </c:pt>
                <c:pt idx="9">
                  <c:v>4.807692307692308E-2</c:v>
                </c:pt>
                <c:pt idx="10">
                  <c:v>5.2884615384615391E-2</c:v>
                </c:pt>
                <c:pt idx="11">
                  <c:v>5.7692307692307696E-2</c:v>
                </c:pt>
                <c:pt idx="12">
                  <c:v>6.25E-2</c:v>
                </c:pt>
                <c:pt idx="13">
                  <c:v>6.7307692307692318E-2</c:v>
                </c:pt>
                <c:pt idx="14">
                  <c:v>7.2115384615384623E-2</c:v>
                </c:pt>
                <c:pt idx="15">
                  <c:v>7.6923076923076927E-2</c:v>
                </c:pt>
                <c:pt idx="16">
                  <c:v>8.1730769230769232E-2</c:v>
                </c:pt>
                <c:pt idx="17">
                  <c:v>8.6538461538461536E-2</c:v>
                </c:pt>
                <c:pt idx="18">
                  <c:v>9.1346153846153855E-2</c:v>
                </c:pt>
                <c:pt idx="19">
                  <c:v>9.6153846153846159E-2</c:v>
                </c:pt>
                <c:pt idx="20">
                  <c:v>0.10096153846153846</c:v>
                </c:pt>
                <c:pt idx="21">
                  <c:v>0.10576923076923078</c:v>
                </c:pt>
                <c:pt idx="22">
                  <c:v>0.11057692307692309</c:v>
                </c:pt>
                <c:pt idx="23">
                  <c:v>0.11538461538461539</c:v>
                </c:pt>
                <c:pt idx="24">
                  <c:v>0.1201923076923077</c:v>
                </c:pt>
                <c:pt idx="25">
                  <c:v>0.125</c:v>
                </c:pt>
                <c:pt idx="26">
                  <c:v>0.12980769230769232</c:v>
                </c:pt>
                <c:pt idx="27">
                  <c:v>0.13461538461538464</c:v>
                </c:pt>
                <c:pt idx="28">
                  <c:v>0.13942307692307693</c:v>
                </c:pt>
                <c:pt idx="29">
                  <c:v>0.14423076923076925</c:v>
                </c:pt>
                <c:pt idx="30">
                  <c:v>0.14903846153846154</c:v>
                </c:pt>
                <c:pt idx="31">
                  <c:v>0.15384615384615385</c:v>
                </c:pt>
                <c:pt idx="32">
                  <c:v>0.15865384615384617</c:v>
                </c:pt>
                <c:pt idx="33">
                  <c:v>0.16346153846153846</c:v>
                </c:pt>
                <c:pt idx="34">
                  <c:v>0.16826923076923078</c:v>
                </c:pt>
                <c:pt idx="35">
                  <c:v>0.17307692307692307</c:v>
                </c:pt>
                <c:pt idx="36">
                  <c:v>0.17788461538461539</c:v>
                </c:pt>
                <c:pt idx="37">
                  <c:v>0.18269230769230771</c:v>
                </c:pt>
                <c:pt idx="38">
                  <c:v>0.1875</c:v>
                </c:pt>
                <c:pt idx="39">
                  <c:v>0.19230769230769232</c:v>
                </c:pt>
                <c:pt idx="40">
                  <c:v>0.19711538461538464</c:v>
                </c:pt>
                <c:pt idx="41">
                  <c:v>0.20192307692307693</c:v>
                </c:pt>
                <c:pt idx="42">
                  <c:v>0.20673076923076925</c:v>
                </c:pt>
                <c:pt idx="43">
                  <c:v>0.21153846153846156</c:v>
                </c:pt>
                <c:pt idx="44">
                  <c:v>0.21634615384615385</c:v>
                </c:pt>
                <c:pt idx="45">
                  <c:v>0.22115384615384617</c:v>
                </c:pt>
                <c:pt idx="46">
                  <c:v>0.22596153846153846</c:v>
                </c:pt>
                <c:pt idx="47">
                  <c:v>0.23076923076923078</c:v>
                </c:pt>
                <c:pt idx="48">
                  <c:v>0.2355769230769231</c:v>
                </c:pt>
                <c:pt idx="49">
                  <c:v>0.24038461538461539</c:v>
                </c:pt>
                <c:pt idx="50">
                  <c:v>0.24519230769230771</c:v>
                </c:pt>
                <c:pt idx="51">
                  <c:v>0.25</c:v>
                </c:pt>
                <c:pt idx="52">
                  <c:v>0.25480769230769235</c:v>
                </c:pt>
                <c:pt idx="53">
                  <c:v>0.25961538461538464</c:v>
                </c:pt>
                <c:pt idx="54">
                  <c:v>0.26442307692307693</c:v>
                </c:pt>
                <c:pt idx="55">
                  <c:v>0.26923076923076927</c:v>
                </c:pt>
                <c:pt idx="56">
                  <c:v>0.27403846153846156</c:v>
                </c:pt>
                <c:pt idx="57">
                  <c:v>0.27884615384615385</c:v>
                </c:pt>
                <c:pt idx="58">
                  <c:v>0.28365384615384615</c:v>
                </c:pt>
                <c:pt idx="59">
                  <c:v>0.28846153846153849</c:v>
                </c:pt>
                <c:pt idx="60">
                  <c:v>0.29326923076923078</c:v>
                </c:pt>
                <c:pt idx="61">
                  <c:v>0.29807692307692307</c:v>
                </c:pt>
                <c:pt idx="62">
                  <c:v>0.30288461538461542</c:v>
                </c:pt>
                <c:pt idx="63">
                  <c:v>0.30769230769230771</c:v>
                </c:pt>
                <c:pt idx="64">
                  <c:v>0.3125</c:v>
                </c:pt>
                <c:pt idx="65">
                  <c:v>0.31730769230769235</c:v>
                </c:pt>
                <c:pt idx="66">
                  <c:v>0.32211538461538464</c:v>
                </c:pt>
                <c:pt idx="67">
                  <c:v>0.32692307692307693</c:v>
                </c:pt>
                <c:pt idx="68">
                  <c:v>0.33173076923076927</c:v>
                </c:pt>
                <c:pt idx="69">
                  <c:v>0.33653846153846156</c:v>
                </c:pt>
                <c:pt idx="70">
                  <c:v>0.34134615384615385</c:v>
                </c:pt>
                <c:pt idx="71">
                  <c:v>0.34615384615384615</c:v>
                </c:pt>
                <c:pt idx="72">
                  <c:v>0.35096153846153849</c:v>
                </c:pt>
                <c:pt idx="73">
                  <c:v>0.35576923076923078</c:v>
                </c:pt>
                <c:pt idx="74">
                  <c:v>0.36057692307692307</c:v>
                </c:pt>
                <c:pt idx="75">
                  <c:v>0.36538461538461542</c:v>
                </c:pt>
                <c:pt idx="76">
                  <c:v>0.37019230769230771</c:v>
                </c:pt>
                <c:pt idx="77">
                  <c:v>0.375</c:v>
                </c:pt>
                <c:pt idx="78">
                  <c:v>0.37980769230769235</c:v>
                </c:pt>
                <c:pt idx="79">
                  <c:v>0.38461538461538464</c:v>
                </c:pt>
                <c:pt idx="80">
                  <c:v>0.38942307692307693</c:v>
                </c:pt>
                <c:pt idx="81">
                  <c:v>0.39423076923076927</c:v>
                </c:pt>
                <c:pt idx="82">
                  <c:v>0.39903846153846156</c:v>
                </c:pt>
                <c:pt idx="83">
                  <c:v>0.40384615384615385</c:v>
                </c:pt>
                <c:pt idx="84">
                  <c:v>0.4086538461538462</c:v>
                </c:pt>
                <c:pt idx="85">
                  <c:v>0.41346153846153849</c:v>
                </c:pt>
                <c:pt idx="86">
                  <c:v>0.41826923076923078</c:v>
                </c:pt>
                <c:pt idx="87">
                  <c:v>0.42307692307692313</c:v>
                </c:pt>
                <c:pt idx="88">
                  <c:v>0.42788461538461542</c:v>
                </c:pt>
                <c:pt idx="89">
                  <c:v>0.43269230769230771</c:v>
                </c:pt>
                <c:pt idx="90">
                  <c:v>0.4375</c:v>
                </c:pt>
                <c:pt idx="91">
                  <c:v>0.44230769230769235</c:v>
                </c:pt>
                <c:pt idx="92">
                  <c:v>0.44711538461538464</c:v>
                </c:pt>
                <c:pt idx="93">
                  <c:v>0.45192307692307693</c:v>
                </c:pt>
                <c:pt idx="94">
                  <c:v>0.45673076923076927</c:v>
                </c:pt>
                <c:pt idx="95">
                  <c:v>0.46153846153846156</c:v>
                </c:pt>
                <c:pt idx="96">
                  <c:v>0.46634615384615385</c:v>
                </c:pt>
                <c:pt idx="97">
                  <c:v>0.4711538461538462</c:v>
                </c:pt>
                <c:pt idx="98">
                  <c:v>0.47596153846153849</c:v>
                </c:pt>
                <c:pt idx="99">
                  <c:v>0.48076923076923078</c:v>
                </c:pt>
                <c:pt idx="100">
                  <c:v>0.48557692307692313</c:v>
                </c:pt>
                <c:pt idx="101">
                  <c:v>0.49038461538461542</c:v>
                </c:pt>
                <c:pt idx="102">
                  <c:v>0.49519230769230771</c:v>
                </c:pt>
                <c:pt idx="103">
                  <c:v>0.5</c:v>
                </c:pt>
                <c:pt idx="104">
                  <c:v>0.50480769230769229</c:v>
                </c:pt>
                <c:pt idx="105">
                  <c:v>0.50961538461538469</c:v>
                </c:pt>
                <c:pt idx="106">
                  <c:v>0.51442307692307698</c:v>
                </c:pt>
                <c:pt idx="107">
                  <c:v>0.51923076923076927</c:v>
                </c:pt>
                <c:pt idx="108">
                  <c:v>0.52403846153846156</c:v>
                </c:pt>
                <c:pt idx="109">
                  <c:v>0.52884615384615385</c:v>
                </c:pt>
                <c:pt idx="110">
                  <c:v>0.53365384615384615</c:v>
                </c:pt>
                <c:pt idx="111">
                  <c:v>0.53846153846153855</c:v>
                </c:pt>
                <c:pt idx="112">
                  <c:v>0.54326923076923084</c:v>
                </c:pt>
                <c:pt idx="113">
                  <c:v>0.54807692307692313</c:v>
                </c:pt>
                <c:pt idx="114">
                  <c:v>0.55288461538461542</c:v>
                </c:pt>
                <c:pt idx="115">
                  <c:v>0.55769230769230771</c:v>
                </c:pt>
                <c:pt idx="116">
                  <c:v>0.5625</c:v>
                </c:pt>
                <c:pt idx="117">
                  <c:v>0.56730769230769229</c:v>
                </c:pt>
                <c:pt idx="118">
                  <c:v>0.57211538461538469</c:v>
                </c:pt>
                <c:pt idx="119">
                  <c:v>0.57692307692307698</c:v>
                </c:pt>
                <c:pt idx="120">
                  <c:v>0.58173076923076927</c:v>
                </c:pt>
                <c:pt idx="121">
                  <c:v>0.58653846153846156</c:v>
                </c:pt>
                <c:pt idx="122">
                  <c:v>0.59134615384615385</c:v>
                </c:pt>
                <c:pt idx="123">
                  <c:v>0.59615384615384615</c:v>
                </c:pt>
                <c:pt idx="124">
                  <c:v>0.60096153846153855</c:v>
                </c:pt>
                <c:pt idx="125">
                  <c:v>0.60576923076923084</c:v>
                </c:pt>
                <c:pt idx="126">
                  <c:v>0.61057692307692313</c:v>
                </c:pt>
                <c:pt idx="127">
                  <c:v>0.61538461538461542</c:v>
                </c:pt>
                <c:pt idx="128">
                  <c:v>0.62019230769230771</c:v>
                </c:pt>
                <c:pt idx="129">
                  <c:v>0.625</c:v>
                </c:pt>
                <c:pt idx="130">
                  <c:v>0.62980769230769229</c:v>
                </c:pt>
                <c:pt idx="131">
                  <c:v>0.63461538461538469</c:v>
                </c:pt>
                <c:pt idx="132">
                  <c:v>0.63942307692307698</c:v>
                </c:pt>
                <c:pt idx="133">
                  <c:v>0.64423076923076927</c:v>
                </c:pt>
                <c:pt idx="134">
                  <c:v>0.64903846153846156</c:v>
                </c:pt>
                <c:pt idx="135">
                  <c:v>0.65384615384615385</c:v>
                </c:pt>
                <c:pt idx="136">
                  <c:v>0.65865384615384615</c:v>
                </c:pt>
                <c:pt idx="137">
                  <c:v>0.66346153846153855</c:v>
                </c:pt>
                <c:pt idx="138">
                  <c:v>0.66826923076923084</c:v>
                </c:pt>
                <c:pt idx="139">
                  <c:v>0.67307692307692313</c:v>
                </c:pt>
                <c:pt idx="140">
                  <c:v>0.67788461538461542</c:v>
                </c:pt>
                <c:pt idx="141">
                  <c:v>0.68269230769230771</c:v>
                </c:pt>
                <c:pt idx="142">
                  <c:v>0.6875</c:v>
                </c:pt>
                <c:pt idx="143">
                  <c:v>0.69230769230769229</c:v>
                </c:pt>
                <c:pt idx="144">
                  <c:v>0.69711538461538469</c:v>
                </c:pt>
                <c:pt idx="145">
                  <c:v>0.70192307692307698</c:v>
                </c:pt>
                <c:pt idx="146">
                  <c:v>0.70673076923076927</c:v>
                </c:pt>
                <c:pt idx="147">
                  <c:v>0.71153846153846156</c:v>
                </c:pt>
                <c:pt idx="148">
                  <c:v>0.71634615384615385</c:v>
                </c:pt>
                <c:pt idx="149">
                  <c:v>0.72115384615384615</c:v>
                </c:pt>
                <c:pt idx="150">
                  <c:v>0.72596153846153855</c:v>
                </c:pt>
                <c:pt idx="151">
                  <c:v>0.73076923076923084</c:v>
                </c:pt>
                <c:pt idx="152">
                  <c:v>0.73557692307692313</c:v>
                </c:pt>
                <c:pt idx="153">
                  <c:v>0.74038461538461542</c:v>
                </c:pt>
                <c:pt idx="154">
                  <c:v>0.74519230769230771</c:v>
                </c:pt>
                <c:pt idx="155">
                  <c:v>0.75</c:v>
                </c:pt>
                <c:pt idx="156">
                  <c:v>0.7548076923076924</c:v>
                </c:pt>
                <c:pt idx="157">
                  <c:v>0.75961538461538469</c:v>
                </c:pt>
                <c:pt idx="158">
                  <c:v>0.76442307692307698</c:v>
                </c:pt>
                <c:pt idx="159">
                  <c:v>0.76923076923076927</c:v>
                </c:pt>
                <c:pt idx="160">
                  <c:v>0.77403846153846156</c:v>
                </c:pt>
                <c:pt idx="161">
                  <c:v>0.77884615384615385</c:v>
                </c:pt>
                <c:pt idx="162">
                  <c:v>0.78365384615384615</c:v>
                </c:pt>
                <c:pt idx="163">
                  <c:v>0.78846153846153855</c:v>
                </c:pt>
                <c:pt idx="164">
                  <c:v>0.79326923076923084</c:v>
                </c:pt>
                <c:pt idx="165">
                  <c:v>0.79807692307692313</c:v>
                </c:pt>
                <c:pt idx="166">
                  <c:v>0.80288461538461542</c:v>
                </c:pt>
                <c:pt idx="167">
                  <c:v>0.80769230769230771</c:v>
                </c:pt>
                <c:pt idx="168">
                  <c:v>0.8125</c:v>
                </c:pt>
                <c:pt idx="169">
                  <c:v>0.8173076923076924</c:v>
                </c:pt>
                <c:pt idx="170">
                  <c:v>0.82211538461538469</c:v>
                </c:pt>
                <c:pt idx="171">
                  <c:v>0.82692307692307698</c:v>
                </c:pt>
                <c:pt idx="172">
                  <c:v>0.83173076923076927</c:v>
                </c:pt>
                <c:pt idx="173">
                  <c:v>0.83653846153846156</c:v>
                </c:pt>
                <c:pt idx="174">
                  <c:v>0.84134615384615385</c:v>
                </c:pt>
                <c:pt idx="175">
                  <c:v>0.84615384615384626</c:v>
                </c:pt>
                <c:pt idx="176">
                  <c:v>0.85096153846153855</c:v>
                </c:pt>
                <c:pt idx="177">
                  <c:v>0.85576923076923084</c:v>
                </c:pt>
                <c:pt idx="178">
                  <c:v>0.86057692307692313</c:v>
                </c:pt>
                <c:pt idx="179">
                  <c:v>0.86538461538461542</c:v>
                </c:pt>
                <c:pt idx="180">
                  <c:v>0.87019230769230771</c:v>
                </c:pt>
                <c:pt idx="181">
                  <c:v>0.875</c:v>
                </c:pt>
                <c:pt idx="182">
                  <c:v>0.8798076923076924</c:v>
                </c:pt>
                <c:pt idx="183">
                  <c:v>0.88461538461538469</c:v>
                </c:pt>
                <c:pt idx="184">
                  <c:v>0.88942307692307698</c:v>
                </c:pt>
                <c:pt idx="185">
                  <c:v>0.89423076923076927</c:v>
                </c:pt>
                <c:pt idx="186">
                  <c:v>0.89903846153846156</c:v>
                </c:pt>
                <c:pt idx="187">
                  <c:v>0.90384615384615385</c:v>
                </c:pt>
                <c:pt idx="188">
                  <c:v>0.90865384615384626</c:v>
                </c:pt>
                <c:pt idx="189">
                  <c:v>0.91346153846153855</c:v>
                </c:pt>
                <c:pt idx="190">
                  <c:v>0.91826923076923084</c:v>
                </c:pt>
                <c:pt idx="191">
                  <c:v>0.92307692307692313</c:v>
                </c:pt>
                <c:pt idx="192">
                  <c:v>0.92788461538461542</c:v>
                </c:pt>
                <c:pt idx="193">
                  <c:v>0.93269230769230771</c:v>
                </c:pt>
                <c:pt idx="194">
                  <c:v>0.9375</c:v>
                </c:pt>
                <c:pt idx="195">
                  <c:v>0.9423076923076924</c:v>
                </c:pt>
                <c:pt idx="196">
                  <c:v>0.94711538461538469</c:v>
                </c:pt>
                <c:pt idx="197">
                  <c:v>0.95192307692307698</c:v>
                </c:pt>
                <c:pt idx="198">
                  <c:v>0.95673076923076927</c:v>
                </c:pt>
                <c:pt idx="199">
                  <c:v>0.96153846153846156</c:v>
                </c:pt>
                <c:pt idx="200">
                  <c:v>0.96634615384615385</c:v>
                </c:pt>
                <c:pt idx="201">
                  <c:v>0.97115384615384626</c:v>
                </c:pt>
                <c:pt idx="202">
                  <c:v>0.97596153846153855</c:v>
                </c:pt>
                <c:pt idx="203">
                  <c:v>0.98076923076923084</c:v>
                </c:pt>
                <c:pt idx="204">
                  <c:v>0.98557692307692313</c:v>
                </c:pt>
                <c:pt idx="205">
                  <c:v>0.99038461538461542</c:v>
                </c:pt>
                <c:pt idx="206">
                  <c:v>0.99519230769230771</c:v>
                </c:pt>
                <c:pt idx="207">
                  <c:v>1</c:v>
                </c:pt>
              </c:numCache>
            </c:numRef>
          </c:xVal>
          <c:yVal>
            <c:numRef>
              <c:f>'Wiener-Prozess'!$C$7:$C$214</c:f>
              <c:numCache>
                <c:formatCode>General</c:formatCode>
                <c:ptCount val="208"/>
                <c:pt idx="0">
                  <c:v>0</c:v>
                </c:pt>
                <c:pt idx="1">
                  <c:v>-3.6698324255307266E-2</c:v>
                </c:pt>
                <c:pt idx="2">
                  <c:v>-8.4552690782049342E-2</c:v>
                </c:pt>
                <c:pt idx="3">
                  <c:v>2.3825076109594209E-2</c:v>
                </c:pt>
                <c:pt idx="4">
                  <c:v>-1.5564987162015459E-2</c:v>
                </c:pt>
                <c:pt idx="5">
                  <c:v>-4.8308459554435128E-2</c:v>
                </c:pt>
                <c:pt idx="6">
                  <c:v>-8.1058148081810347E-2</c:v>
                </c:pt>
                <c:pt idx="7">
                  <c:v>2.9090763991122745E-2</c:v>
                </c:pt>
                <c:pt idx="8">
                  <c:v>4.4301274197040177E-2</c:v>
                </c:pt>
                <c:pt idx="9">
                  <c:v>0.15889578586279046</c:v>
                </c:pt>
                <c:pt idx="10">
                  <c:v>0.14744805812287515</c:v>
                </c:pt>
                <c:pt idx="11">
                  <c:v>0.16474556915023372</c:v>
                </c:pt>
                <c:pt idx="12">
                  <c:v>0.13936999869155603</c:v>
                </c:pt>
                <c:pt idx="13">
                  <c:v>0.13033841937687649</c:v>
                </c:pt>
                <c:pt idx="14">
                  <c:v>0.17372913396536066</c:v>
                </c:pt>
                <c:pt idx="15">
                  <c:v>0.1826920919671598</c:v>
                </c:pt>
                <c:pt idx="16">
                  <c:v>0.23221376164898577</c:v>
                </c:pt>
                <c:pt idx="17">
                  <c:v>0.11029334680958715</c:v>
                </c:pt>
                <c:pt idx="18">
                  <c:v>0.15679004920163578</c:v>
                </c:pt>
                <c:pt idx="19">
                  <c:v>0.12942380542301901</c:v>
                </c:pt>
                <c:pt idx="20">
                  <c:v>0.10043385779004456</c:v>
                </c:pt>
                <c:pt idx="21">
                  <c:v>0.16108939758944119</c:v>
                </c:pt>
                <c:pt idx="22">
                  <c:v>0.24190710341196742</c:v>
                </c:pt>
                <c:pt idx="23">
                  <c:v>0.2683467106923409</c:v>
                </c:pt>
                <c:pt idx="24">
                  <c:v>0.21509735772787197</c:v>
                </c:pt>
                <c:pt idx="25">
                  <c:v>0.16950428625262748</c:v>
                </c:pt>
                <c:pt idx="26">
                  <c:v>0.17984140537307133</c:v>
                </c:pt>
                <c:pt idx="27">
                  <c:v>8.0201588362125278E-2</c:v>
                </c:pt>
                <c:pt idx="28">
                  <c:v>3.5232250446219457E-2</c:v>
                </c:pt>
                <c:pt idx="29">
                  <c:v>2.7993170405144187E-2</c:v>
                </c:pt>
                <c:pt idx="30">
                  <c:v>-6.8217394377563106E-2</c:v>
                </c:pt>
                <c:pt idx="31">
                  <c:v>-0.11143048595609115</c:v>
                </c:pt>
                <c:pt idx="32">
                  <c:v>-4.0512216680101826E-3</c:v>
                </c:pt>
                <c:pt idx="33">
                  <c:v>2.7307685531061741E-2</c:v>
                </c:pt>
                <c:pt idx="34">
                  <c:v>5.3700542548313246E-2</c:v>
                </c:pt>
                <c:pt idx="35">
                  <c:v>4.9357773983037777E-2</c:v>
                </c:pt>
                <c:pt idx="36">
                  <c:v>3.6062364283455009E-2</c:v>
                </c:pt>
                <c:pt idx="37">
                  <c:v>3.6797619183625979E-3</c:v>
                </c:pt>
                <c:pt idx="38">
                  <c:v>1.3007829625355596E-2</c:v>
                </c:pt>
                <c:pt idx="39">
                  <c:v>-3.2359790747556474E-2</c:v>
                </c:pt>
                <c:pt idx="40">
                  <c:v>-8.4923003879208286E-2</c:v>
                </c:pt>
                <c:pt idx="41">
                  <c:v>-3.6870980937650129E-2</c:v>
                </c:pt>
                <c:pt idx="42">
                  <c:v>-4.3999281955802196E-2</c:v>
                </c:pt>
                <c:pt idx="43">
                  <c:v>-5.7179272773745793E-2</c:v>
                </c:pt>
                <c:pt idx="44">
                  <c:v>-6.951120912400223E-3</c:v>
                </c:pt>
                <c:pt idx="45">
                  <c:v>-8.6858137739301483E-2</c:v>
                </c:pt>
                <c:pt idx="46">
                  <c:v>-0.19701773231893821</c:v>
                </c:pt>
                <c:pt idx="47">
                  <c:v>-0.19305929725497437</c:v>
                </c:pt>
                <c:pt idx="48">
                  <c:v>-0.16465217606782007</c:v>
                </c:pt>
                <c:pt idx="49">
                  <c:v>-0.33258932757783538</c:v>
                </c:pt>
                <c:pt idx="50">
                  <c:v>-0.31372653296734365</c:v>
                </c:pt>
                <c:pt idx="51">
                  <c:v>-0.25681477212046661</c:v>
                </c:pt>
                <c:pt idx="52">
                  <c:v>-0.23536560899871703</c:v>
                </c:pt>
                <c:pt idx="53">
                  <c:v>-0.34231397697609439</c:v>
                </c:pt>
                <c:pt idx="54">
                  <c:v>-0.47223207262133482</c:v>
                </c:pt>
                <c:pt idx="55">
                  <c:v>-0.4308582114008575</c:v>
                </c:pt>
                <c:pt idx="56">
                  <c:v>-0.54505175381630444</c:v>
                </c:pt>
                <c:pt idx="57">
                  <c:v>-0.32883861559219918</c:v>
                </c:pt>
                <c:pt idx="58">
                  <c:v>-0.36840363682850141</c:v>
                </c:pt>
                <c:pt idx="59">
                  <c:v>-0.31496287679796159</c:v>
                </c:pt>
                <c:pt idx="60">
                  <c:v>-0.37348874319528924</c:v>
                </c:pt>
                <c:pt idx="61">
                  <c:v>-0.37419443358350263</c:v>
                </c:pt>
                <c:pt idx="62">
                  <c:v>-0.31681157633610507</c:v>
                </c:pt>
                <c:pt idx="63">
                  <c:v>-0.31661001675196943</c:v>
                </c:pt>
                <c:pt idx="64">
                  <c:v>-0.21106803501095633</c:v>
                </c:pt>
                <c:pt idx="65">
                  <c:v>-0.22144661161118828</c:v>
                </c:pt>
                <c:pt idx="66">
                  <c:v>-0.20958311341569835</c:v>
                </c:pt>
                <c:pt idx="67">
                  <c:v>-0.22498739352065078</c:v>
                </c:pt>
                <c:pt idx="68">
                  <c:v>-0.15598507371085774</c:v>
                </c:pt>
                <c:pt idx="69">
                  <c:v>-0.12992618348677676</c:v>
                </c:pt>
                <c:pt idx="70">
                  <c:v>-0.22770769150941611</c:v>
                </c:pt>
                <c:pt idx="71">
                  <c:v>-0.21787869261425458</c:v>
                </c:pt>
                <c:pt idx="72">
                  <c:v>-0.16367319549748921</c:v>
                </c:pt>
                <c:pt idx="73">
                  <c:v>-0.12761163708648066</c:v>
                </c:pt>
                <c:pt idx="74">
                  <c:v>-6.4519537963971058E-2</c:v>
                </c:pt>
                <c:pt idx="75">
                  <c:v>-8.1987880344551206E-2</c:v>
                </c:pt>
                <c:pt idx="76">
                  <c:v>-0.12599590530516791</c:v>
                </c:pt>
                <c:pt idx="77">
                  <c:v>-8.3516522413443428E-2</c:v>
                </c:pt>
                <c:pt idx="78">
                  <c:v>5.6285552080687501E-3</c:v>
                </c:pt>
                <c:pt idx="79">
                  <c:v>-1.412743245791236E-2</c:v>
                </c:pt>
                <c:pt idx="80">
                  <c:v>-8.8786733953577793E-2</c:v>
                </c:pt>
                <c:pt idx="81">
                  <c:v>-0.13447738462635228</c:v>
                </c:pt>
                <c:pt idx="82">
                  <c:v>-0.16298770929874573</c:v>
                </c:pt>
                <c:pt idx="83">
                  <c:v>-6.4324380358494901E-2</c:v>
                </c:pt>
                <c:pt idx="84">
                  <c:v>-1.089530547339769E-2</c:v>
                </c:pt>
                <c:pt idx="85">
                  <c:v>8.9785426438770993E-2</c:v>
                </c:pt>
                <c:pt idx="86">
                  <c:v>0.13628764290004564</c:v>
                </c:pt>
                <c:pt idx="87">
                  <c:v>0.23950640584234226</c:v>
                </c:pt>
                <c:pt idx="88">
                  <c:v>0.13378991851566602</c:v>
                </c:pt>
                <c:pt idx="89">
                  <c:v>0.19601273581296558</c:v>
                </c:pt>
                <c:pt idx="90">
                  <c:v>0.21958328820610809</c:v>
                </c:pt>
                <c:pt idx="91">
                  <c:v>0.25251923374562052</c:v>
                </c:pt>
                <c:pt idx="92">
                  <c:v>0.21258321902722541</c:v>
                </c:pt>
                <c:pt idx="93">
                  <c:v>0.21282028598920158</c:v>
                </c:pt>
                <c:pt idx="94">
                  <c:v>0.20021453962450231</c:v>
                </c:pt>
                <c:pt idx="95">
                  <c:v>0.27692837792209823</c:v>
                </c:pt>
                <c:pt idx="96">
                  <c:v>0.34395512074630408</c:v>
                </c:pt>
                <c:pt idx="97">
                  <c:v>0.37121795819660369</c:v>
                </c:pt>
                <c:pt idx="98">
                  <c:v>0.26286412556746591</c:v>
                </c:pt>
                <c:pt idx="99">
                  <c:v>0.18570641804264709</c:v>
                </c:pt>
                <c:pt idx="100">
                  <c:v>0.15708767816136357</c:v>
                </c:pt>
                <c:pt idx="101">
                  <c:v>0.17753136035436426</c:v>
                </c:pt>
                <c:pt idx="102">
                  <c:v>0.20606032716097267</c:v>
                </c:pt>
                <c:pt idx="103">
                  <c:v>0.23192501098300858</c:v>
                </c:pt>
                <c:pt idx="104">
                  <c:v>0.26200760963446923</c:v>
                </c:pt>
                <c:pt idx="105">
                  <c:v>0.23842459618544784</c:v>
                </c:pt>
                <c:pt idx="106">
                  <c:v>0.34503558586392158</c:v>
                </c:pt>
                <c:pt idx="107">
                  <c:v>0.41985728450928222</c:v>
                </c:pt>
                <c:pt idx="108">
                  <c:v>0.47222401958608295</c:v>
                </c:pt>
                <c:pt idx="109">
                  <c:v>0.51812843026174649</c:v>
                </c:pt>
                <c:pt idx="110">
                  <c:v>0.49420318192456758</c:v>
                </c:pt>
                <c:pt idx="111">
                  <c:v>0.48332397517108866</c:v>
                </c:pt>
                <c:pt idx="112">
                  <c:v>0.40860992536086688</c:v>
                </c:pt>
                <c:pt idx="113">
                  <c:v>0.40512601675386029</c:v>
                </c:pt>
                <c:pt idx="114">
                  <c:v>0.32470059222210007</c:v>
                </c:pt>
                <c:pt idx="115">
                  <c:v>0.42678527736764005</c:v>
                </c:pt>
                <c:pt idx="116">
                  <c:v>0.49130116474072316</c:v>
                </c:pt>
                <c:pt idx="117">
                  <c:v>0.48729053893692625</c:v>
                </c:pt>
                <c:pt idx="118">
                  <c:v>0.50718394521784138</c:v>
                </c:pt>
                <c:pt idx="119">
                  <c:v>0.52898476217052603</c:v>
                </c:pt>
                <c:pt idx="120">
                  <c:v>0.52550738201318525</c:v>
                </c:pt>
                <c:pt idx="121">
                  <c:v>0.48540587974612187</c:v>
                </c:pt>
                <c:pt idx="122">
                  <c:v>0.5526119879694219</c:v>
                </c:pt>
                <c:pt idx="123">
                  <c:v>0.53678156267215471</c:v>
                </c:pt>
                <c:pt idx="124">
                  <c:v>0.59617565055464827</c:v>
                </c:pt>
                <c:pt idx="125">
                  <c:v>0.60648477672556034</c:v>
                </c:pt>
                <c:pt idx="126">
                  <c:v>0.59285813819113409</c:v>
                </c:pt>
                <c:pt idx="127">
                  <c:v>0.6659926723804841</c:v>
                </c:pt>
                <c:pt idx="128">
                  <c:v>0.67806865172763719</c:v>
                </c:pt>
                <c:pt idx="129">
                  <c:v>0.66206486510403562</c:v>
                </c:pt>
                <c:pt idx="130">
                  <c:v>0.726902070157458</c:v>
                </c:pt>
                <c:pt idx="131">
                  <c:v>0.61251561105951335</c:v>
                </c:pt>
                <c:pt idx="132">
                  <c:v>0.72875526815121727</c:v>
                </c:pt>
                <c:pt idx="133">
                  <c:v>0.79153028975778306</c:v>
                </c:pt>
                <c:pt idx="134">
                  <c:v>0.70145224534714379</c:v>
                </c:pt>
                <c:pt idx="135">
                  <c:v>0.65259506412241286</c:v>
                </c:pt>
                <c:pt idx="136">
                  <c:v>0.62897943106279641</c:v>
                </c:pt>
                <c:pt idx="137">
                  <c:v>0.55543368965691076</c:v>
                </c:pt>
                <c:pt idx="138">
                  <c:v>0.5697812933889953</c:v>
                </c:pt>
                <c:pt idx="139">
                  <c:v>0.58605452809750769</c:v>
                </c:pt>
                <c:pt idx="140">
                  <c:v>0.48720604930343714</c:v>
                </c:pt>
                <c:pt idx="141">
                  <c:v>0.49724727012137032</c:v>
                </c:pt>
                <c:pt idx="142">
                  <c:v>0.53479359211484934</c:v>
                </c:pt>
                <c:pt idx="143">
                  <c:v>0.41613880633254852</c:v>
                </c:pt>
                <c:pt idx="144">
                  <c:v>0.50918352867551497</c:v>
                </c:pt>
                <c:pt idx="145">
                  <c:v>0.54493254567359806</c:v>
                </c:pt>
                <c:pt idx="146">
                  <c:v>0.53005191243121819</c:v>
                </c:pt>
                <c:pt idx="147">
                  <c:v>0.53683519115001066</c:v>
                </c:pt>
                <c:pt idx="148">
                  <c:v>0.53279780286380196</c:v>
                </c:pt>
                <c:pt idx="149">
                  <c:v>0.56382477876274517</c:v>
                </c:pt>
                <c:pt idx="150">
                  <c:v>0.39269296243800877</c:v>
                </c:pt>
                <c:pt idx="151">
                  <c:v>0.45370275443533137</c:v>
                </c:pt>
                <c:pt idx="152">
                  <c:v>0.38525979893840734</c:v>
                </c:pt>
                <c:pt idx="153">
                  <c:v>0.38964022694519251</c:v>
                </c:pt>
                <c:pt idx="154">
                  <c:v>0.282240236885202</c:v>
                </c:pt>
                <c:pt idx="155">
                  <c:v>0.27024768770890745</c:v>
                </c:pt>
                <c:pt idx="156">
                  <c:v>0.22002144285123898</c:v>
                </c:pt>
                <c:pt idx="157">
                  <c:v>0.16973924048934608</c:v>
                </c:pt>
                <c:pt idx="158">
                  <c:v>0.22123166741442718</c:v>
                </c:pt>
                <c:pt idx="159">
                  <c:v>0.16284253416212652</c:v>
                </c:pt>
                <c:pt idx="160">
                  <c:v>0.1663457412361995</c:v>
                </c:pt>
                <c:pt idx="161">
                  <c:v>0.12745477879004979</c:v>
                </c:pt>
                <c:pt idx="162">
                  <c:v>0.20218459586682297</c:v>
                </c:pt>
                <c:pt idx="163">
                  <c:v>0.2290193592155132</c:v>
                </c:pt>
                <c:pt idx="164">
                  <c:v>0.29794830113110515</c:v>
                </c:pt>
                <c:pt idx="165">
                  <c:v>0.34213273247972004</c:v>
                </c:pt>
                <c:pt idx="166">
                  <c:v>0.36490888534627486</c:v>
                </c:pt>
                <c:pt idx="167">
                  <c:v>0.37760305621432061</c:v>
                </c:pt>
                <c:pt idx="168">
                  <c:v>0.29103676933505707</c:v>
                </c:pt>
                <c:pt idx="169">
                  <c:v>0.25300185033106104</c:v>
                </c:pt>
                <c:pt idx="170">
                  <c:v>0.21173508754356821</c:v>
                </c:pt>
                <c:pt idx="171">
                  <c:v>0.18831244598347471</c:v>
                </c:pt>
                <c:pt idx="172">
                  <c:v>0.20247501644100999</c:v>
                </c:pt>
                <c:pt idx="173">
                  <c:v>0.20082622960697766</c:v>
                </c:pt>
                <c:pt idx="174">
                  <c:v>0.28124285702585783</c:v>
                </c:pt>
                <c:pt idx="175">
                  <c:v>0.32749543003705289</c:v>
                </c:pt>
                <c:pt idx="176">
                  <c:v>0.3781463430390089</c:v>
                </c:pt>
                <c:pt idx="177">
                  <c:v>0.40623401296808292</c:v>
                </c:pt>
                <c:pt idx="178">
                  <c:v>0.52845066981150568</c:v>
                </c:pt>
                <c:pt idx="179">
                  <c:v>0.47158344469297081</c:v>
                </c:pt>
                <c:pt idx="180">
                  <c:v>0.43773782005790163</c:v>
                </c:pt>
                <c:pt idx="181">
                  <c:v>0.45664561870933301</c:v>
                </c:pt>
                <c:pt idx="182">
                  <c:v>0.54833227742255519</c:v>
                </c:pt>
                <c:pt idx="183">
                  <c:v>0.4024052703660812</c:v>
                </c:pt>
                <c:pt idx="184">
                  <c:v>0.3099178555720421</c:v>
                </c:pt>
                <c:pt idx="185">
                  <c:v>0.29966994004065339</c:v>
                </c:pt>
                <c:pt idx="186">
                  <c:v>0.24183614925886893</c:v>
                </c:pt>
                <c:pt idx="187">
                  <c:v>0.33827067265423727</c:v>
                </c:pt>
                <c:pt idx="188">
                  <c:v>0.35687032687781228</c:v>
                </c:pt>
                <c:pt idx="189">
                  <c:v>0.40087222325154936</c:v>
                </c:pt>
                <c:pt idx="190">
                  <c:v>0.33619196994355288</c:v>
                </c:pt>
                <c:pt idx="191">
                  <c:v>0.41124351002618859</c:v>
                </c:pt>
                <c:pt idx="192">
                  <c:v>0.36287498238731691</c:v>
                </c:pt>
                <c:pt idx="193">
                  <c:v>0.36820044704109578</c:v>
                </c:pt>
                <c:pt idx="194">
                  <c:v>0.48366785824500874</c:v>
                </c:pt>
                <c:pt idx="195">
                  <c:v>0.53348124418125276</c:v>
                </c:pt>
                <c:pt idx="196">
                  <c:v>0.44795248209092614</c:v>
                </c:pt>
                <c:pt idx="197">
                  <c:v>0.44702195798581251</c:v>
                </c:pt>
                <c:pt idx="198">
                  <c:v>0.49335655178145549</c:v>
                </c:pt>
                <c:pt idx="199">
                  <c:v>0.53179363699003501</c:v>
                </c:pt>
                <c:pt idx="200">
                  <c:v>0.56353684993046227</c:v>
                </c:pt>
                <c:pt idx="201">
                  <c:v>0.67197655077007712</c:v>
                </c:pt>
                <c:pt idx="202">
                  <c:v>0.68091306077319658</c:v>
                </c:pt>
                <c:pt idx="203">
                  <c:v>0.62157757079271847</c:v>
                </c:pt>
                <c:pt idx="204">
                  <c:v>0.7575657778463214</c:v>
                </c:pt>
                <c:pt idx="205">
                  <c:v>0.71486535773480464</c:v>
                </c:pt>
                <c:pt idx="206">
                  <c:v>0.71892135909524724</c:v>
                </c:pt>
                <c:pt idx="207">
                  <c:v>0.77776802365615083</c:v>
                </c:pt>
              </c:numCache>
            </c:numRef>
          </c:yVal>
          <c:smooth val="0"/>
        </c:ser>
        <c:ser>
          <c:idx val="2"/>
          <c:order val="1"/>
          <c:spPr>
            <a:ln w="12700">
              <a:solidFill>
                <a:srgbClr val="000000"/>
              </a:solidFill>
              <a:prstDash val="solid"/>
            </a:ln>
          </c:spPr>
          <c:marker>
            <c:symbol val="none"/>
          </c:marker>
          <c:xVal>
            <c:numRef>
              <c:f>'Wiener-Prozess'!$A$7:$A$214</c:f>
              <c:numCache>
                <c:formatCode>#\ ???/???</c:formatCode>
                <c:ptCount val="208"/>
                <c:pt idx="0" formatCode="General">
                  <c:v>0</c:v>
                </c:pt>
                <c:pt idx="1">
                  <c:v>9.6153846153846159E-3</c:v>
                </c:pt>
                <c:pt idx="2">
                  <c:v>1.4423076923076924E-2</c:v>
                </c:pt>
                <c:pt idx="3">
                  <c:v>1.9230769230769232E-2</c:v>
                </c:pt>
                <c:pt idx="4">
                  <c:v>2.403846153846154E-2</c:v>
                </c:pt>
                <c:pt idx="5">
                  <c:v>2.8846153846153848E-2</c:v>
                </c:pt>
                <c:pt idx="6">
                  <c:v>3.3653846153846159E-2</c:v>
                </c:pt>
                <c:pt idx="7">
                  <c:v>3.8461538461538464E-2</c:v>
                </c:pt>
                <c:pt idx="8">
                  <c:v>4.3269230769230768E-2</c:v>
                </c:pt>
                <c:pt idx="9">
                  <c:v>4.807692307692308E-2</c:v>
                </c:pt>
                <c:pt idx="10">
                  <c:v>5.2884615384615391E-2</c:v>
                </c:pt>
                <c:pt idx="11">
                  <c:v>5.7692307692307696E-2</c:v>
                </c:pt>
                <c:pt idx="12">
                  <c:v>6.25E-2</c:v>
                </c:pt>
                <c:pt idx="13">
                  <c:v>6.7307692307692318E-2</c:v>
                </c:pt>
                <c:pt idx="14">
                  <c:v>7.2115384615384623E-2</c:v>
                </c:pt>
                <c:pt idx="15">
                  <c:v>7.6923076923076927E-2</c:v>
                </c:pt>
                <c:pt idx="16">
                  <c:v>8.1730769230769232E-2</c:v>
                </c:pt>
                <c:pt idx="17">
                  <c:v>8.6538461538461536E-2</c:v>
                </c:pt>
                <c:pt idx="18">
                  <c:v>9.1346153846153855E-2</c:v>
                </c:pt>
                <c:pt idx="19">
                  <c:v>9.6153846153846159E-2</c:v>
                </c:pt>
                <c:pt idx="20">
                  <c:v>0.10096153846153846</c:v>
                </c:pt>
                <c:pt idx="21">
                  <c:v>0.10576923076923078</c:v>
                </c:pt>
                <c:pt idx="22">
                  <c:v>0.11057692307692309</c:v>
                </c:pt>
                <c:pt idx="23">
                  <c:v>0.11538461538461539</c:v>
                </c:pt>
                <c:pt idx="24">
                  <c:v>0.1201923076923077</c:v>
                </c:pt>
                <c:pt idx="25">
                  <c:v>0.125</c:v>
                </c:pt>
                <c:pt idx="26">
                  <c:v>0.12980769230769232</c:v>
                </c:pt>
                <c:pt idx="27">
                  <c:v>0.13461538461538464</c:v>
                </c:pt>
                <c:pt idx="28">
                  <c:v>0.13942307692307693</c:v>
                </c:pt>
                <c:pt idx="29">
                  <c:v>0.14423076923076925</c:v>
                </c:pt>
                <c:pt idx="30">
                  <c:v>0.14903846153846154</c:v>
                </c:pt>
                <c:pt idx="31">
                  <c:v>0.15384615384615385</c:v>
                </c:pt>
                <c:pt idx="32">
                  <c:v>0.15865384615384617</c:v>
                </c:pt>
                <c:pt idx="33">
                  <c:v>0.16346153846153846</c:v>
                </c:pt>
                <c:pt idx="34">
                  <c:v>0.16826923076923078</c:v>
                </c:pt>
                <c:pt idx="35">
                  <c:v>0.17307692307692307</c:v>
                </c:pt>
                <c:pt idx="36">
                  <c:v>0.17788461538461539</c:v>
                </c:pt>
                <c:pt idx="37">
                  <c:v>0.18269230769230771</c:v>
                </c:pt>
                <c:pt idx="38">
                  <c:v>0.1875</c:v>
                </c:pt>
                <c:pt idx="39">
                  <c:v>0.19230769230769232</c:v>
                </c:pt>
                <c:pt idx="40">
                  <c:v>0.19711538461538464</c:v>
                </c:pt>
                <c:pt idx="41">
                  <c:v>0.20192307692307693</c:v>
                </c:pt>
                <c:pt idx="42">
                  <c:v>0.20673076923076925</c:v>
                </c:pt>
                <c:pt idx="43">
                  <c:v>0.21153846153846156</c:v>
                </c:pt>
                <c:pt idx="44">
                  <c:v>0.21634615384615385</c:v>
                </c:pt>
                <c:pt idx="45">
                  <c:v>0.22115384615384617</c:v>
                </c:pt>
                <c:pt idx="46">
                  <c:v>0.22596153846153846</c:v>
                </c:pt>
                <c:pt idx="47">
                  <c:v>0.23076923076923078</c:v>
                </c:pt>
                <c:pt idx="48">
                  <c:v>0.2355769230769231</c:v>
                </c:pt>
                <c:pt idx="49">
                  <c:v>0.24038461538461539</c:v>
                </c:pt>
                <c:pt idx="50">
                  <c:v>0.24519230769230771</c:v>
                </c:pt>
                <c:pt idx="51">
                  <c:v>0.25</c:v>
                </c:pt>
                <c:pt idx="52">
                  <c:v>0.25480769230769235</c:v>
                </c:pt>
                <c:pt idx="53">
                  <c:v>0.25961538461538464</c:v>
                </c:pt>
                <c:pt idx="54">
                  <c:v>0.26442307692307693</c:v>
                </c:pt>
                <c:pt idx="55">
                  <c:v>0.26923076923076927</c:v>
                </c:pt>
                <c:pt idx="56">
                  <c:v>0.27403846153846156</c:v>
                </c:pt>
                <c:pt idx="57">
                  <c:v>0.27884615384615385</c:v>
                </c:pt>
                <c:pt idx="58">
                  <c:v>0.28365384615384615</c:v>
                </c:pt>
                <c:pt idx="59">
                  <c:v>0.28846153846153849</c:v>
                </c:pt>
                <c:pt idx="60">
                  <c:v>0.29326923076923078</c:v>
                </c:pt>
                <c:pt idx="61">
                  <c:v>0.29807692307692307</c:v>
                </c:pt>
                <c:pt idx="62">
                  <c:v>0.30288461538461542</c:v>
                </c:pt>
                <c:pt idx="63">
                  <c:v>0.30769230769230771</c:v>
                </c:pt>
                <c:pt idx="64">
                  <c:v>0.3125</c:v>
                </c:pt>
                <c:pt idx="65">
                  <c:v>0.31730769230769235</c:v>
                </c:pt>
                <c:pt idx="66">
                  <c:v>0.32211538461538464</c:v>
                </c:pt>
                <c:pt idx="67">
                  <c:v>0.32692307692307693</c:v>
                </c:pt>
                <c:pt idx="68">
                  <c:v>0.33173076923076927</c:v>
                </c:pt>
                <c:pt idx="69">
                  <c:v>0.33653846153846156</c:v>
                </c:pt>
                <c:pt idx="70">
                  <c:v>0.34134615384615385</c:v>
                </c:pt>
                <c:pt idx="71">
                  <c:v>0.34615384615384615</c:v>
                </c:pt>
                <c:pt idx="72">
                  <c:v>0.35096153846153849</c:v>
                </c:pt>
                <c:pt idx="73">
                  <c:v>0.35576923076923078</c:v>
                </c:pt>
                <c:pt idx="74">
                  <c:v>0.36057692307692307</c:v>
                </c:pt>
                <c:pt idx="75">
                  <c:v>0.36538461538461542</c:v>
                </c:pt>
                <c:pt idx="76">
                  <c:v>0.37019230769230771</c:v>
                </c:pt>
                <c:pt idx="77">
                  <c:v>0.375</c:v>
                </c:pt>
                <c:pt idx="78">
                  <c:v>0.37980769230769235</c:v>
                </c:pt>
                <c:pt idx="79">
                  <c:v>0.38461538461538464</c:v>
                </c:pt>
                <c:pt idx="80">
                  <c:v>0.38942307692307693</c:v>
                </c:pt>
                <c:pt idx="81">
                  <c:v>0.39423076923076927</c:v>
                </c:pt>
                <c:pt idx="82">
                  <c:v>0.39903846153846156</c:v>
                </c:pt>
                <c:pt idx="83">
                  <c:v>0.40384615384615385</c:v>
                </c:pt>
                <c:pt idx="84">
                  <c:v>0.4086538461538462</c:v>
                </c:pt>
                <c:pt idx="85">
                  <c:v>0.41346153846153849</c:v>
                </c:pt>
                <c:pt idx="86">
                  <c:v>0.41826923076923078</c:v>
                </c:pt>
                <c:pt idx="87">
                  <c:v>0.42307692307692313</c:v>
                </c:pt>
                <c:pt idx="88">
                  <c:v>0.42788461538461542</c:v>
                </c:pt>
                <c:pt idx="89">
                  <c:v>0.43269230769230771</c:v>
                </c:pt>
                <c:pt idx="90">
                  <c:v>0.4375</c:v>
                </c:pt>
                <c:pt idx="91">
                  <c:v>0.44230769230769235</c:v>
                </c:pt>
                <c:pt idx="92">
                  <c:v>0.44711538461538464</c:v>
                </c:pt>
                <c:pt idx="93">
                  <c:v>0.45192307692307693</c:v>
                </c:pt>
                <c:pt idx="94">
                  <c:v>0.45673076923076927</c:v>
                </c:pt>
                <c:pt idx="95">
                  <c:v>0.46153846153846156</c:v>
                </c:pt>
                <c:pt idx="96">
                  <c:v>0.46634615384615385</c:v>
                </c:pt>
                <c:pt idx="97">
                  <c:v>0.4711538461538462</c:v>
                </c:pt>
                <c:pt idx="98">
                  <c:v>0.47596153846153849</c:v>
                </c:pt>
                <c:pt idx="99">
                  <c:v>0.48076923076923078</c:v>
                </c:pt>
                <c:pt idx="100">
                  <c:v>0.48557692307692313</c:v>
                </c:pt>
                <c:pt idx="101">
                  <c:v>0.49038461538461542</c:v>
                </c:pt>
                <c:pt idx="102">
                  <c:v>0.49519230769230771</c:v>
                </c:pt>
                <c:pt idx="103">
                  <c:v>0.5</c:v>
                </c:pt>
                <c:pt idx="104">
                  <c:v>0.50480769230769229</c:v>
                </c:pt>
                <c:pt idx="105">
                  <c:v>0.50961538461538469</c:v>
                </c:pt>
                <c:pt idx="106">
                  <c:v>0.51442307692307698</c:v>
                </c:pt>
                <c:pt idx="107">
                  <c:v>0.51923076923076927</c:v>
                </c:pt>
                <c:pt idx="108">
                  <c:v>0.52403846153846156</c:v>
                </c:pt>
                <c:pt idx="109">
                  <c:v>0.52884615384615385</c:v>
                </c:pt>
                <c:pt idx="110">
                  <c:v>0.53365384615384615</c:v>
                </c:pt>
                <c:pt idx="111">
                  <c:v>0.53846153846153855</c:v>
                </c:pt>
                <c:pt idx="112">
                  <c:v>0.54326923076923084</c:v>
                </c:pt>
                <c:pt idx="113">
                  <c:v>0.54807692307692313</c:v>
                </c:pt>
                <c:pt idx="114">
                  <c:v>0.55288461538461542</c:v>
                </c:pt>
                <c:pt idx="115">
                  <c:v>0.55769230769230771</c:v>
                </c:pt>
                <c:pt idx="116">
                  <c:v>0.5625</c:v>
                </c:pt>
                <c:pt idx="117">
                  <c:v>0.56730769230769229</c:v>
                </c:pt>
                <c:pt idx="118">
                  <c:v>0.57211538461538469</c:v>
                </c:pt>
                <c:pt idx="119">
                  <c:v>0.57692307692307698</c:v>
                </c:pt>
                <c:pt idx="120">
                  <c:v>0.58173076923076927</c:v>
                </c:pt>
                <c:pt idx="121">
                  <c:v>0.58653846153846156</c:v>
                </c:pt>
                <c:pt idx="122">
                  <c:v>0.59134615384615385</c:v>
                </c:pt>
                <c:pt idx="123">
                  <c:v>0.59615384615384615</c:v>
                </c:pt>
                <c:pt idx="124">
                  <c:v>0.60096153846153855</c:v>
                </c:pt>
                <c:pt idx="125">
                  <c:v>0.60576923076923084</c:v>
                </c:pt>
                <c:pt idx="126">
                  <c:v>0.61057692307692313</c:v>
                </c:pt>
                <c:pt idx="127">
                  <c:v>0.61538461538461542</c:v>
                </c:pt>
                <c:pt idx="128">
                  <c:v>0.62019230769230771</c:v>
                </c:pt>
                <c:pt idx="129">
                  <c:v>0.625</c:v>
                </c:pt>
                <c:pt idx="130">
                  <c:v>0.62980769230769229</c:v>
                </c:pt>
                <c:pt idx="131">
                  <c:v>0.63461538461538469</c:v>
                </c:pt>
                <c:pt idx="132">
                  <c:v>0.63942307692307698</c:v>
                </c:pt>
                <c:pt idx="133">
                  <c:v>0.64423076923076927</c:v>
                </c:pt>
                <c:pt idx="134">
                  <c:v>0.64903846153846156</c:v>
                </c:pt>
                <c:pt idx="135">
                  <c:v>0.65384615384615385</c:v>
                </c:pt>
                <c:pt idx="136">
                  <c:v>0.65865384615384615</c:v>
                </c:pt>
                <c:pt idx="137">
                  <c:v>0.66346153846153855</c:v>
                </c:pt>
                <c:pt idx="138">
                  <c:v>0.66826923076923084</c:v>
                </c:pt>
                <c:pt idx="139">
                  <c:v>0.67307692307692313</c:v>
                </c:pt>
                <c:pt idx="140">
                  <c:v>0.67788461538461542</c:v>
                </c:pt>
                <c:pt idx="141">
                  <c:v>0.68269230769230771</c:v>
                </c:pt>
                <c:pt idx="142">
                  <c:v>0.6875</c:v>
                </c:pt>
                <c:pt idx="143">
                  <c:v>0.69230769230769229</c:v>
                </c:pt>
                <c:pt idx="144">
                  <c:v>0.69711538461538469</c:v>
                </c:pt>
                <c:pt idx="145">
                  <c:v>0.70192307692307698</c:v>
                </c:pt>
                <c:pt idx="146">
                  <c:v>0.70673076923076927</c:v>
                </c:pt>
                <c:pt idx="147">
                  <c:v>0.71153846153846156</c:v>
                </c:pt>
                <c:pt idx="148">
                  <c:v>0.71634615384615385</c:v>
                </c:pt>
                <c:pt idx="149">
                  <c:v>0.72115384615384615</c:v>
                </c:pt>
                <c:pt idx="150">
                  <c:v>0.72596153846153855</c:v>
                </c:pt>
                <c:pt idx="151">
                  <c:v>0.73076923076923084</c:v>
                </c:pt>
                <c:pt idx="152">
                  <c:v>0.73557692307692313</c:v>
                </c:pt>
                <c:pt idx="153">
                  <c:v>0.74038461538461542</c:v>
                </c:pt>
                <c:pt idx="154">
                  <c:v>0.74519230769230771</c:v>
                </c:pt>
                <c:pt idx="155">
                  <c:v>0.75</c:v>
                </c:pt>
                <c:pt idx="156">
                  <c:v>0.7548076923076924</c:v>
                </c:pt>
                <c:pt idx="157">
                  <c:v>0.75961538461538469</c:v>
                </c:pt>
                <c:pt idx="158">
                  <c:v>0.76442307692307698</c:v>
                </c:pt>
                <c:pt idx="159">
                  <c:v>0.76923076923076927</c:v>
                </c:pt>
                <c:pt idx="160">
                  <c:v>0.77403846153846156</c:v>
                </c:pt>
                <c:pt idx="161">
                  <c:v>0.77884615384615385</c:v>
                </c:pt>
                <c:pt idx="162">
                  <c:v>0.78365384615384615</c:v>
                </c:pt>
                <c:pt idx="163">
                  <c:v>0.78846153846153855</c:v>
                </c:pt>
                <c:pt idx="164">
                  <c:v>0.79326923076923084</c:v>
                </c:pt>
                <c:pt idx="165">
                  <c:v>0.79807692307692313</c:v>
                </c:pt>
                <c:pt idx="166">
                  <c:v>0.80288461538461542</c:v>
                </c:pt>
                <c:pt idx="167">
                  <c:v>0.80769230769230771</c:v>
                </c:pt>
                <c:pt idx="168">
                  <c:v>0.8125</c:v>
                </c:pt>
                <c:pt idx="169">
                  <c:v>0.8173076923076924</c:v>
                </c:pt>
                <c:pt idx="170">
                  <c:v>0.82211538461538469</c:v>
                </c:pt>
                <c:pt idx="171">
                  <c:v>0.82692307692307698</c:v>
                </c:pt>
                <c:pt idx="172">
                  <c:v>0.83173076923076927</c:v>
                </c:pt>
                <c:pt idx="173">
                  <c:v>0.83653846153846156</c:v>
                </c:pt>
                <c:pt idx="174">
                  <c:v>0.84134615384615385</c:v>
                </c:pt>
                <c:pt idx="175">
                  <c:v>0.84615384615384626</c:v>
                </c:pt>
                <c:pt idx="176">
                  <c:v>0.85096153846153855</c:v>
                </c:pt>
                <c:pt idx="177">
                  <c:v>0.85576923076923084</c:v>
                </c:pt>
                <c:pt idx="178">
                  <c:v>0.86057692307692313</c:v>
                </c:pt>
                <c:pt idx="179">
                  <c:v>0.86538461538461542</c:v>
                </c:pt>
                <c:pt idx="180">
                  <c:v>0.87019230769230771</c:v>
                </c:pt>
                <c:pt idx="181">
                  <c:v>0.875</c:v>
                </c:pt>
                <c:pt idx="182">
                  <c:v>0.8798076923076924</c:v>
                </c:pt>
                <c:pt idx="183">
                  <c:v>0.88461538461538469</c:v>
                </c:pt>
                <c:pt idx="184">
                  <c:v>0.88942307692307698</c:v>
                </c:pt>
                <c:pt idx="185">
                  <c:v>0.89423076923076927</c:v>
                </c:pt>
                <c:pt idx="186">
                  <c:v>0.89903846153846156</c:v>
                </c:pt>
                <c:pt idx="187">
                  <c:v>0.90384615384615385</c:v>
                </c:pt>
                <c:pt idx="188">
                  <c:v>0.90865384615384626</c:v>
                </c:pt>
                <c:pt idx="189">
                  <c:v>0.91346153846153855</c:v>
                </c:pt>
                <c:pt idx="190">
                  <c:v>0.91826923076923084</c:v>
                </c:pt>
                <c:pt idx="191">
                  <c:v>0.92307692307692313</c:v>
                </c:pt>
                <c:pt idx="192">
                  <c:v>0.92788461538461542</c:v>
                </c:pt>
                <c:pt idx="193">
                  <c:v>0.93269230769230771</c:v>
                </c:pt>
                <c:pt idx="194">
                  <c:v>0.9375</c:v>
                </c:pt>
                <c:pt idx="195">
                  <c:v>0.9423076923076924</c:v>
                </c:pt>
                <c:pt idx="196">
                  <c:v>0.94711538461538469</c:v>
                </c:pt>
                <c:pt idx="197">
                  <c:v>0.95192307692307698</c:v>
                </c:pt>
                <c:pt idx="198">
                  <c:v>0.95673076923076927</c:v>
                </c:pt>
                <c:pt idx="199">
                  <c:v>0.96153846153846156</c:v>
                </c:pt>
                <c:pt idx="200">
                  <c:v>0.96634615384615385</c:v>
                </c:pt>
                <c:pt idx="201">
                  <c:v>0.97115384615384626</c:v>
                </c:pt>
                <c:pt idx="202">
                  <c:v>0.97596153846153855</c:v>
                </c:pt>
                <c:pt idx="203">
                  <c:v>0.98076923076923084</c:v>
                </c:pt>
                <c:pt idx="204">
                  <c:v>0.98557692307692313</c:v>
                </c:pt>
                <c:pt idx="205">
                  <c:v>0.99038461538461542</c:v>
                </c:pt>
                <c:pt idx="206">
                  <c:v>0.99519230769230771</c:v>
                </c:pt>
                <c:pt idx="207">
                  <c:v>1</c:v>
                </c:pt>
              </c:numCache>
            </c:numRef>
          </c:xVal>
          <c:yVal>
            <c:numRef>
              <c:f>'Wiener-Prozess'!$D$7:$D$214</c:f>
              <c:numCache>
                <c:formatCode>General</c:formatCode>
                <c:ptCount val="208"/>
                <c:pt idx="0">
                  <c:v>0</c:v>
                </c:pt>
                <c:pt idx="1">
                  <c:v>-2.708293963992265E-2</c:v>
                </c:pt>
                <c:pt idx="2">
                  <c:v>-7.0129613858972414E-2</c:v>
                </c:pt>
                <c:pt idx="3">
                  <c:v>4.3055845340363441E-2</c:v>
                </c:pt>
                <c:pt idx="4">
                  <c:v>8.4734743764460808E-3</c:v>
                </c:pt>
                <c:pt idx="5">
                  <c:v>-1.946230570828128E-2</c:v>
                </c:pt>
                <c:pt idx="6">
                  <c:v>-4.7404301927964188E-2</c:v>
                </c:pt>
                <c:pt idx="7">
                  <c:v>6.7552302452661209E-2</c:v>
                </c:pt>
                <c:pt idx="8">
                  <c:v>8.7570504966270946E-2</c:v>
                </c:pt>
                <c:pt idx="9">
                  <c:v>0.20697270893971353</c:v>
                </c:pt>
                <c:pt idx="10">
                  <c:v>0.20033267350749054</c:v>
                </c:pt>
                <c:pt idx="11">
                  <c:v>0.2224378768425414</c:v>
                </c:pt>
                <c:pt idx="12">
                  <c:v>0.20186999869155603</c:v>
                </c:pt>
                <c:pt idx="13">
                  <c:v>0.1976461116845688</c:v>
                </c:pt>
                <c:pt idx="14">
                  <c:v>0.2458445185807453</c:v>
                </c:pt>
                <c:pt idx="15">
                  <c:v>0.25961516889023672</c:v>
                </c:pt>
                <c:pt idx="16">
                  <c:v>0.31394453087975499</c:v>
                </c:pt>
                <c:pt idx="17">
                  <c:v>0.1968318083480487</c:v>
                </c:pt>
                <c:pt idx="18">
                  <c:v>0.24813620304778963</c:v>
                </c:pt>
                <c:pt idx="19">
                  <c:v>0.22557765157686516</c:v>
                </c:pt>
                <c:pt idx="20">
                  <c:v>0.20139539625158304</c:v>
                </c:pt>
                <c:pt idx="21">
                  <c:v>0.26685862835867197</c:v>
                </c:pt>
                <c:pt idx="22">
                  <c:v>0.35248402648889049</c:v>
                </c:pt>
                <c:pt idx="23">
                  <c:v>0.38373132607695626</c:v>
                </c:pt>
                <c:pt idx="24">
                  <c:v>0.33528966542017968</c:v>
                </c:pt>
                <c:pt idx="25">
                  <c:v>0.29450428625262748</c:v>
                </c:pt>
                <c:pt idx="26">
                  <c:v>0.30964909768076365</c:v>
                </c:pt>
                <c:pt idx="27">
                  <c:v>0.2148169729775099</c:v>
                </c:pt>
                <c:pt idx="28">
                  <c:v>0.1746553273692964</c:v>
                </c:pt>
                <c:pt idx="29">
                  <c:v>0.17222393963591343</c:v>
                </c:pt>
                <c:pt idx="30">
                  <c:v>8.082106716089843E-2</c:v>
                </c:pt>
                <c:pt idx="31">
                  <c:v>4.2415667890062708E-2</c:v>
                </c:pt>
                <c:pt idx="32">
                  <c:v>0.154602624485836</c:v>
                </c:pt>
                <c:pt idx="33">
                  <c:v>0.19076922399260021</c:v>
                </c:pt>
                <c:pt idx="34">
                  <c:v>0.22196977331754403</c:v>
                </c:pt>
                <c:pt idx="35">
                  <c:v>0.22243469705996086</c:v>
                </c:pt>
                <c:pt idx="36">
                  <c:v>0.21394697966807041</c:v>
                </c:pt>
                <c:pt idx="37">
                  <c:v>0.18637206961067032</c:v>
                </c:pt>
                <c:pt idx="38">
                  <c:v>0.2005078296253556</c:v>
                </c:pt>
                <c:pt idx="39">
                  <c:v>0.15994790156013583</c:v>
                </c:pt>
                <c:pt idx="40">
                  <c:v>0.11219238073617635</c:v>
                </c:pt>
                <c:pt idx="41">
                  <c:v>0.16505209598542681</c:v>
                </c:pt>
                <c:pt idx="42">
                  <c:v>0.16273148727496706</c:v>
                </c:pt>
                <c:pt idx="43">
                  <c:v>0.15435918876471577</c:v>
                </c:pt>
                <c:pt idx="44">
                  <c:v>0.20939503293375364</c:v>
                </c:pt>
                <c:pt idx="45">
                  <c:v>0.13429570841454469</c:v>
                </c:pt>
                <c:pt idx="46">
                  <c:v>2.8943806142600254E-2</c:v>
                </c:pt>
                <c:pt idx="47">
                  <c:v>3.7709933514256416E-2</c:v>
                </c:pt>
                <c:pt idx="48">
                  <c:v>7.0924747009103034E-2</c:v>
                </c:pt>
                <c:pt idx="49">
                  <c:v>-9.220471219321999E-2</c:v>
                </c:pt>
                <c:pt idx="50">
                  <c:v>-6.8534225275035943E-2</c:v>
                </c:pt>
                <c:pt idx="51">
                  <c:v>-6.8147721204666056E-3</c:v>
                </c:pt>
                <c:pt idx="52">
                  <c:v>1.9442083308975316E-2</c:v>
                </c:pt>
                <c:pt idx="53">
                  <c:v>-8.2698592360709755E-2</c:v>
                </c:pt>
                <c:pt idx="54">
                  <c:v>-0.20780899569825789</c:v>
                </c:pt>
                <c:pt idx="55">
                  <c:v>-0.16162744217008823</c:v>
                </c:pt>
                <c:pt idx="56">
                  <c:v>-0.27101329227784288</c:v>
                </c:pt>
                <c:pt idx="57">
                  <c:v>-4.9992461746045325E-2</c:v>
                </c:pt>
                <c:pt idx="58">
                  <c:v>-8.4749790674655268E-2</c:v>
                </c:pt>
                <c:pt idx="59">
                  <c:v>-2.6501338336423097E-2</c:v>
                </c:pt>
                <c:pt idx="60">
                  <c:v>-8.0219512426058459E-2</c:v>
                </c:pt>
                <c:pt idx="61">
                  <c:v>-7.6117510506579555E-2</c:v>
                </c:pt>
                <c:pt idx="62">
                  <c:v>-1.3926960951489653E-2</c:v>
                </c:pt>
                <c:pt idx="63">
                  <c:v>-8.9177090596617159E-3</c:v>
                </c:pt>
                <c:pt idx="64">
                  <c:v>0.10143196498904367</c:v>
                </c:pt>
                <c:pt idx="65">
                  <c:v>9.5861080696504064E-2</c:v>
                </c:pt>
                <c:pt idx="66">
                  <c:v>0.11253227119968628</c:v>
                </c:pt>
                <c:pt idx="67">
                  <c:v>0.10193568340242615</c:v>
                </c:pt>
                <c:pt idx="68">
                  <c:v>0.17574569551991154</c:v>
                </c:pt>
                <c:pt idx="69">
                  <c:v>0.20661227805168481</c:v>
                </c:pt>
                <c:pt idx="70">
                  <c:v>0.11363846233673774</c:v>
                </c:pt>
                <c:pt idx="71">
                  <c:v>0.12827515353959157</c:v>
                </c:pt>
                <c:pt idx="72">
                  <c:v>0.18728834296404928</c:v>
                </c:pt>
                <c:pt idx="73">
                  <c:v>0.22815759368275013</c:v>
                </c:pt>
                <c:pt idx="74">
                  <c:v>0.29605738511295199</c:v>
                </c:pt>
                <c:pt idx="75">
                  <c:v>0.28339673504006424</c:v>
                </c:pt>
                <c:pt idx="76">
                  <c:v>0.2441964023871398</c:v>
                </c:pt>
                <c:pt idx="77">
                  <c:v>0.29148347758655657</c:v>
                </c:pt>
                <c:pt idx="78">
                  <c:v>0.38543624751576111</c:v>
                </c:pt>
                <c:pt idx="79">
                  <c:v>0.37048795215747227</c:v>
                </c:pt>
                <c:pt idx="80">
                  <c:v>0.30063634296949915</c:v>
                </c:pt>
                <c:pt idx="81">
                  <c:v>0.25975338460441699</c:v>
                </c:pt>
                <c:pt idx="82">
                  <c:v>0.23605075223971583</c:v>
                </c:pt>
                <c:pt idx="83">
                  <c:v>0.33952177348765894</c:v>
                </c:pt>
                <c:pt idx="84">
                  <c:v>0.39775854068044852</c:v>
                </c:pt>
                <c:pt idx="85">
                  <c:v>0.50324696490030951</c:v>
                </c:pt>
                <c:pt idx="86">
                  <c:v>0.55455687366927642</c:v>
                </c:pt>
                <c:pt idx="87">
                  <c:v>0.66258332891926541</c:v>
                </c:pt>
                <c:pt idx="88">
                  <c:v>0.56167453390028144</c:v>
                </c:pt>
                <c:pt idx="89">
                  <c:v>0.62870504350527323</c:v>
                </c:pt>
                <c:pt idx="90">
                  <c:v>0.65708328820610806</c:v>
                </c:pt>
                <c:pt idx="91">
                  <c:v>0.69482692605331287</c:v>
                </c:pt>
                <c:pt idx="92">
                  <c:v>0.65969860364261002</c:v>
                </c:pt>
                <c:pt idx="93">
                  <c:v>0.66474336291227853</c:v>
                </c:pt>
                <c:pt idx="94">
                  <c:v>0.65694530885527158</c:v>
                </c:pt>
                <c:pt idx="95">
                  <c:v>0.7384668394605598</c:v>
                </c:pt>
                <c:pt idx="96">
                  <c:v>0.81030127459245793</c:v>
                </c:pt>
                <c:pt idx="97">
                  <c:v>0.84237180435044989</c:v>
                </c:pt>
                <c:pt idx="98">
                  <c:v>0.7388256640290044</c:v>
                </c:pt>
                <c:pt idx="99">
                  <c:v>0.66647564881187793</c:v>
                </c:pt>
                <c:pt idx="100">
                  <c:v>0.64266460123828673</c:v>
                </c:pt>
                <c:pt idx="101">
                  <c:v>0.66791597573897965</c:v>
                </c:pt>
                <c:pt idx="102">
                  <c:v>0.70125263485328038</c:v>
                </c:pt>
                <c:pt idx="103">
                  <c:v>0.73192501098300855</c:v>
                </c:pt>
                <c:pt idx="104">
                  <c:v>0.76681530194216152</c:v>
                </c:pt>
                <c:pt idx="105">
                  <c:v>0.74803998080083256</c:v>
                </c:pt>
                <c:pt idx="106">
                  <c:v>0.85945866278699856</c:v>
                </c:pt>
                <c:pt idx="107">
                  <c:v>0.93908805374005144</c:v>
                </c:pt>
                <c:pt idx="108">
                  <c:v>0.99626248112454452</c:v>
                </c:pt>
                <c:pt idx="109">
                  <c:v>1.0469745841079003</c:v>
                </c:pt>
                <c:pt idx="110">
                  <c:v>1.0278570280784138</c:v>
                </c:pt>
                <c:pt idx="111">
                  <c:v>1.0217855136326273</c:v>
                </c:pt>
                <c:pt idx="112">
                  <c:v>0.95187915613009766</c:v>
                </c:pt>
                <c:pt idx="113">
                  <c:v>0.95320293983078341</c:v>
                </c:pt>
                <c:pt idx="114">
                  <c:v>0.87758520760671543</c:v>
                </c:pt>
                <c:pt idx="115">
                  <c:v>0.98447758505994776</c:v>
                </c:pt>
                <c:pt idx="116">
                  <c:v>1.0538011647407233</c:v>
                </c:pt>
                <c:pt idx="117">
                  <c:v>1.0545982312446185</c:v>
                </c:pt>
                <c:pt idx="118">
                  <c:v>1.0792993298332261</c:v>
                </c:pt>
                <c:pt idx="119">
                  <c:v>1.105907839093603</c:v>
                </c:pt>
                <c:pt idx="120">
                  <c:v>1.1072381512439544</c:v>
                </c:pt>
                <c:pt idx="121">
                  <c:v>1.0719443412845835</c:v>
                </c:pt>
                <c:pt idx="122">
                  <c:v>1.1439581418155758</c:v>
                </c:pt>
                <c:pt idx="123">
                  <c:v>1.1329354088260009</c:v>
                </c:pt>
                <c:pt idx="124">
                  <c:v>1.1971371890161868</c:v>
                </c:pt>
                <c:pt idx="125">
                  <c:v>1.2122540074947912</c:v>
                </c:pt>
                <c:pt idx="126">
                  <c:v>1.2034350612680571</c:v>
                </c:pt>
                <c:pt idx="127">
                  <c:v>1.2813772877650995</c:v>
                </c:pt>
                <c:pt idx="128">
                  <c:v>1.2982609594199448</c:v>
                </c:pt>
                <c:pt idx="129">
                  <c:v>1.2870648651040355</c:v>
                </c:pt>
                <c:pt idx="130">
                  <c:v>1.3567097624651503</c:v>
                </c:pt>
                <c:pt idx="131">
                  <c:v>1.2471309956748979</c:v>
                </c:pt>
                <c:pt idx="132">
                  <c:v>1.3681783450742944</c:v>
                </c:pt>
                <c:pt idx="133">
                  <c:v>1.4357610589885523</c:v>
                </c:pt>
                <c:pt idx="134">
                  <c:v>1.3504907068856054</c:v>
                </c:pt>
                <c:pt idx="135">
                  <c:v>1.3064412179685667</c:v>
                </c:pt>
                <c:pt idx="136">
                  <c:v>1.2876332772166426</c:v>
                </c:pt>
                <c:pt idx="137">
                  <c:v>1.2188952281184493</c:v>
                </c:pt>
                <c:pt idx="138">
                  <c:v>1.238050524158226</c:v>
                </c:pt>
                <c:pt idx="139">
                  <c:v>1.2591314511744307</c:v>
                </c:pt>
                <c:pt idx="140">
                  <c:v>1.1650906646880526</c:v>
                </c:pt>
                <c:pt idx="141">
                  <c:v>1.1799395778136781</c:v>
                </c:pt>
                <c:pt idx="142">
                  <c:v>1.2222935921148492</c:v>
                </c:pt>
                <c:pt idx="143">
                  <c:v>1.1084464986402409</c:v>
                </c:pt>
                <c:pt idx="144">
                  <c:v>1.2062989132908997</c:v>
                </c:pt>
                <c:pt idx="145">
                  <c:v>1.2468556225966752</c:v>
                </c:pt>
                <c:pt idx="146">
                  <c:v>1.2367826816619876</c:v>
                </c:pt>
                <c:pt idx="147">
                  <c:v>1.2483736526884721</c:v>
                </c:pt>
                <c:pt idx="148">
                  <c:v>1.2491439567099558</c:v>
                </c:pt>
                <c:pt idx="149">
                  <c:v>1.2849786249165913</c:v>
                </c:pt>
                <c:pt idx="150">
                  <c:v>1.1186545008995474</c:v>
                </c:pt>
                <c:pt idx="151">
                  <c:v>1.1844719852045622</c:v>
                </c:pt>
                <c:pt idx="152">
                  <c:v>1.1208367220153304</c:v>
                </c:pt>
                <c:pt idx="153">
                  <c:v>1.1300248423298078</c:v>
                </c:pt>
                <c:pt idx="154">
                  <c:v>1.0274325445775097</c:v>
                </c:pt>
                <c:pt idx="155">
                  <c:v>1.0202476877089075</c:v>
                </c:pt>
                <c:pt idx="156">
                  <c:v>0.97482913515893133</c:v>
                </c:pt>
                <c:pt idx="157">
                  <c:v>0.92935462510473077</c:v>
                </c:pt>
                <c:pt idx="158">
                  <c:v>0.98565474433750411</c:v>
                </c:pt>
                <c:pt idx="159">
                  <c:v>0.93207330339289585</c:v>
                </c:pt>
                <c:pt idx="160">
                  <c:v>0.94038420277466106</c:v>
                </c:pt>
                <c:pt idx="161">
                  <c:v>0.9063009326362037</c:v>
                </c:pt>
                <c:pt idx="162">
                  <c:v>0.98583844202066917</c:v>
                </c:pt>
                <c:pt idx="163">
                  <c:v>1.0174808976770517</c:v>
                </c:pt>
                <c:pt idx="164">
                  <c:v>1.0912175319003361</c:v>
                </c:pt>
                <c:pt idx="165">
                  <c:v>1.1402096555566432</c:v>
                </c:pt>
                <c:pt idx="166">
                  <c:v>1.1677935007308902</c:v>
                </c:pt>
                <c:pt idx="167">
                  <c:v>1.1852953639066284</c:v>
                </c:pt>
                <c:pt idx="168">
                  <c:v>1.1035367693350571</c:v>
                </c:pt>
                <c:pt idx="169">
                  <c:v>1.0703095426387534</c:v>
                </c:pt>
                <c:pt idx="170">
                  <c:v>1.033850472158953</c:v>
                </c:pt>
                <c:pt idx="171">
                  <c:v>1.0152355229065517</c:v>
                </c:pt>
                <c:pt idx="172">
                  <c:v>1.0342057856717792</c:v>
                </c:pt>
                <c:pt idx="173">
                  <c:v>1.0373646911454393</c:v>
                </c:pt>
                <c:pt idx="174">
                  <c:v>1.1225890108720118</c:v>
                </c:pt>
                <c:pt idx="175">
                  <c:v>1.1736492761908992</c:v>
                </c:pt>
                <c:pt idx="176">
                  <c:v>1.2291078815005474</c:v>
                </c:pt>
                <c:pt idx="177">
                  <c:v>1.2620032437373139</c:v>
                </c:pt>
                <c:pt idx="178">
                  <c:v>1.3890275928884288</c:v>
                </c:pt>
                <c:pt idx="179">
                  <c:v>1.3369680600775862</c:v>
                </c:pt>
                <c:pt idx="180">
                  <c:v>1.3079301277502093</c:v>
                </c:pt>
                <c:pt idx="181">
                  <c:v>1.3316456187093331</c:v>
                </c:pt>
                <c:pt idx="182">
                  <c:v>1.4281399697302475</c:v>
                </c:pt>
                <c:pt idx="183">
                  <c:v>1.287020654981466</c:v>
                </c:pt>
                <c:pt idx="184">
                  <c:v>1.1993409324951192</c:v>
                </c:pt>
                <c:pt idx="185">
                  <c:v>1.1939007092714227</c:v>
                </c:pt>
                <c:pt idx="186">
                  <c:v>1.1408746107973304</c:v>
                </c:pt>
                <c:pt idx="187">
                  <c:v>1.242116826500391</c:v>
                </c:pt>
                <c:pt idx="188">
                  <c:v>1.2655241730316584</c:v>
                </c:pt>
                <c:pt idx="189">
                  <c:v>1.3143337617130879</c:v>
                </c:pt>
                <c:pt idx="190">
                  <c:v>1.2544612007127838</c:v>
                </c:pt>
                <c:pt idx="191">
                  <c:v>1.3343204331031118</c:v>
                </c:pt>
                <c:pt idx="192">
                  <c:v>1.2907595977719324</c:v>
                </c:pt>
                <c:pt idx="193">
                  <c:v>1.3008927547334035</c:v>
                </c:pt>
                <c:pt idx="194">
                  <c:v>1.4211678582450087</c:v>
                </c:pt>
                <c:pt idx="195">
                  <c:v>1.4757889364889452</c:v>
                </c:pt>
                <c:pt idx="196">
                  <c:v>1.3950678667063108</c:v>
                </c:pt>
                <c:pt idx="197">
                  <c:v>1.3989450349088894</c:v>
                </c:pt>
                <c:pt idx="198">
                  <c:v>1.4500873210122247</c:v>
                </c:pt>
                <c:pt idx="199">
                  <c:v>1.4933320985284966</c:v>
                </c:pt>
                <c:pt idx="200">
                  <c:v>1.5298830037766162</c:v>
                </c:pt>
                <c:pt idx="201">
                  <c:v>1.6431303969239233</c:v>
                </c:pt>
                <c:pt idx="202">
                  <c:v>1.6568745992347351</c:v>
                </c:pt>
                <c:pt idx="203">
                  <c:v>1.6023468015619493</c:v>
                </c:pt>
                <c:pt idx="204">
                  <c:v>1.7431427009232445</c:v>
                </c:pt>
                <c:pt idx="205">
                  <c:v>1.7052499731194199</c:v>
                </c:pt>
                <c:pt idx="206">
                  <c:v>1.7141136667875549</c:v>
                </c:pt>
                <c:pt idx="207">
                  <c:v>1.7777680236561508</c:v>
                </c:pt>
              </c:numCache>
            </c:numRef>
          </c:yVal>
          <c:smooth val="0"/>
        </c:ser>
        <c:ser>
          <c:idx val="0"/>
          <c:order val="2"/>
          <c:spPr>
            <a:ln w="12700">
              <a:solidFill>
                <a:srgbClr val="000080"/>
              </a:solidFill>
              <a:prstDash val="solid"/>
            </a:ln>
          </c:spPr>
          <c:marker>
            <c:symbol val="none"/>
          </c:marker>
          <c:xVal>
            <c:numRef>
              <c:f>'Wiener-Prozess'!$E$7:$E$8</c:f>
              <c:numCache>
                <c:formatCode>General</c:formatCode>
                <c:ptCount val="2"/>
                <c:pt idx="0">
                  <c:v>0</c:v>
                </c:pt>
                <c:pt idx="1">
                  <c:v>1</c:v>
                </c:pt>
              </c:numCache>
            </c:numRef>
          </c:xVal>
          <c:yVal>
            <c:numRef>
              <c:f>'Wiener-Prozess'!$F$7:$F$8</c:f>
              <c:numCache>
                <c:formatCode>General</c:formatCode>
                <c:ptCount val="2"/>
                <c:pt idx="0">
                  <c:v>0</c:v>
                </c:pt>
                <c:pt idx="1">
                  <c:v>1</c:v>
                </c:pt>
              </c:numCache>
            </c:numRef>
          </c:yVal>
          <c:smooth val="1"/>
        </c:ser>
        <c:dLbls>
          <c:showLegendKey val="0"/>
          <c:showVal val="0"/>
          <c:showCatName val="0"/>
          <c:showSerName val="0"/>
          <c:showPercent val="0"/>
          <c:showBubbleSize val="0"/>
        </c:dLbls>
        <c:axId val="204500928"/>
        <c:axId val="204501504"/>
      </c:scatterChart>
      <c:valAx>
        <c:axId val="204500928"/>
        <c:scaling>
          <c:orientation val="minMax"/>
          <c:max val="1"/>
        </c:scaling>
        <c:delete val="0"/>
        <c:axPos val="b"/>
        <c:title>
          <c:tx>
            <c:rich>
              <a:bodyPr/>
              <a:lstStyle/>
              <a:p>
                <a:pPr>
                  <a:defRPr sz="800" b="1" i="0" u="none" strike="noStrike" baseline="0">
                    <a:solidFill>
                      <a:srgbClr val="000000"/>
                    </a:solidFill>
                    <a:latin typeface="Times New Roman"/>
                    <a:ea typeface="Times New Roman"/>
                    <a:cs typeface="Times New Roman"/>
                  </a:defRPr>
                </a:pPr>
                <a:r>
                  <a:rPr lang="de-DE"/>
                  <a:t>verallgemeinerter 
Wiener-Prozess</a:t>
                </a:r>
              </a:p>
            </c:rich>
          </c:tx>
          <c:layout>
            <c:manualLayout>
              <c:xMode val="edge"/>
              <c:yMode val="edge"/>
              <c:x val="0.34183673469387754"/>
              <c:y val="0.15686324570837709"/>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de-DE"/>
          </a:p>
        </c:txPr>
        <c:crossAx val="204501504"/>
        <c:crosses val="autoZero"/>
        <c:crossBetween val="midCat"/>
        <c:majorUnit val="0.5"/>
      </c:valAx>
      <c:valAx>
        <c:axId val="204501504"/>
        <c:scaling>
          <c:orientation val="minMax"/>
          <c:max val="2.5"/>
        </c:scaling>
        <c:delete val="0"/>
        <c:axPos val="l"/>
        <c:title>
          <c:tx>
            <c:rich>
              <a:bodyPr rot="0" vert="horz"/>
              <a:lstStyle/>
              <a:p>
                <a:pPr algn="ctr">
                  <a:defRPr sz="800" b="1" i="0" u="none" strike="noStrike" baseline="0">
                    <a:solidFill>
                      <a:srgbClr val="000000"/>
                    </a:solidFill>
                    <a:latin typeface="Times New Roman"/>
                    <a:ea typeface="Times New Roman"/>
                    <a:cs typeface="Times New Roman"/>
                  </a:defRPr>
                </a:pPr>
                <a:r>
                  <a:rPr lang="de-DE"/>
                  <a:t>Wiener-Prozess</a:t>
                </a:r>
              </a:p>
            </c:rich>
          </c:tx>
          <c:layout>
            <c:manualLayout>
              <c:xMode val="edge"/>
              <c:yMode val="edge"/>
              <c:x val="0.70153061224489799"/>
              <c:y val="0.70588460568769684"/>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de-DE"/>
          </a:p>
        </c:txPr>
        <c:crossAx val="204500928"/>
        <c:crosses val="autoZero"/>
        <c:crossBetween val="midCat"/>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de-DE"/>
    </a:p>
  </c:txPr>
  <c:printSettings>
    <c:headerFooter alignWithMargins="0">
      <c:oddHeader>&amp;B</c:oddHeader>
      <c:oddFooter>Seite &amp;S</c:oddFooter>
    </c:headerFooter>
    <c:pageMargins b="0.984251969" l="0.78740157499999996" r="0.78740157499999996" t="0.984251969" header="0.4921259845" footer="0.4921259845"/>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de-DE"/>
              <a:t>Fairer Call-Preis und innerer Wert</a:t>
            </a:r>
          </a:p>
        </c:rich>
      </c:tx>
      <c:layout>
        <c:manualLayout>
          <c:xMode val="edge"/>
          <c:yMode val="edge"/>
          <c:x val="0.178694757754637"/>
          <c:y val="2.3364539291899303E-2"/>
        </c:manualLayout>
      </c:layout>
      <c:overlay val="0"/>
      <c:spPr>
        <a:noFill/>
        <a:ln w="25400">
          <a:noFill/>
        </a:ln>
      </c:spPr>
    </c:title>
    <c:autoTitleDeleted val="0"/>
    <c:plotArea>
      <c:layout>
        <c:manualLayout>
          <c:layoutTarget val="inner"/>
          <c:xMode val="edge"/>
          <c:yMode val="edge"/>
          <c:x val="0.11340244242121195"/>
          <c:y val="0.14953305146815554"/>
          <c:w val="0.8213085981415047"/>
          <c:h val="0.62149674516452147"/>
        </c:manualLayout>
      </c:layout>
      <c:scatterChart>
        <c:scatterStyle val="smoothMarker"/>
        <c:varyColors val="0"/>
        <c:ser>
          <c:idx val="0"/>
          <c:order val="0"/>
          <c:spPr>
            <a:ln w="12700">
              <a:solidFill>
                <a:srgbClr val="000080"/>
              </a:solidFill>
              <a:prstDash val="solid"/>
            </a:ln>
          </c:spPr>
          <c:marker>
            <c:symbol val="none"/>
          </c:marker>
          <c:xVal>
            <c:numRef>
              <c:f>'Beisp. 10.4.8'!$F$2:$AA$2</c:f>
              <c:numCache>
                <c:formatCode>0.00</c:formatCode>
                <c:ptCount val="22"/>
                <c:pt idx="0">
                  <c:v>9.5</c:v>
                </c:pt>
                <c:pt idx="1">
                  <c:v>10.125</c:v>
                </c:pt>
                <c:pt idx="2">
                  <c:v>10.75</c:v>
                </c:pt>
                <c:pt idx="3">
                  <c:v>11.375</c:v>
                </c:pt>
                <c:pt idx="4">
                  <c:v>12</c:v>
                </c:pt>
                <c:pt idx="5">
                  <c:v>12.625</c:v>
                </c:pt>
                <c:pt idx="6">
                  <c:v>13.25</c:v>
                </c:pt>
                <c:pt idx="7">
                  <c:v>13.875</c:v>
                </c:pt>
                <c:pt idx="8">
                  <c:v>14.5</c:v>
                </c:pt>
                <c:pt idx="9">
                  <c:v>15.411199999999999</c:v>
                </c:pt>
                <c:pt idx="10">
                  <c:v>15.412000000000001</c:v>
                </c:pt>
                <c:pt idx="11">
                  <c:v>15.8</c:v>
                </c:pt>
                <c:pt idx="12">
                  <c:v>16</c:v>
                </c:pt>
                <c:pt idx="13">
                  <c:v>16.625</c:v>
                </c:pt>
                <c:pt idx="14">
                  <c:v>17.25</c:v>
                </c:pt>
                <c:pt idx="15">
                  <c:v>17.875</c:v>
                </c:pt>
                <c:pt idx="16">
                  <c:v>18.5</c:v>
                </c:pt>
                <c:pt idx="17">
                  <c:v>19.125</c:v>
                </c:pt>
                <c:pt idx="18">
                  <c:v>19.75</c:v>
                </c:pt>
                <c:pt idx="19">
                  <c:v>20.375</c:v>
                </c:pt>
                <c:pt idx="20">
                  <c:v>21</c:v>
                </c:pt>
                <c:pt idx="21">
                  <c:v>21.625</c:v>
                </c:pt>
              </c:numCache>
            </c:numRef>
          </c:xVal>
          <c:yVal>
            <c:numRef>
              <c:f>'Beisp. 10.4.8'!$F$3:$AA$3</c:f>
              <c:numCache>
                <c:formatCode>0.0000</c:formatCode>
                <c:ptCount val="22"/>
                <c:pt idx="0">
                  <c:v>1.6266198842962223E-3</c:v>
                </c:pt>
                <c:pt idx="1">
                  <c:v>5.4348875559942361E-3</c:v>
                </c:pt>
                <c:pt idx="2">
                  <c:v>1.5211479680661222E-2</c:v>
                </c:pt>
                <c:pt idx="3">
                  <c:v>3.6689358018067386E-2</c:v>
                </c:pt>
                <c:pt idx="4" formatCode="0.00">
                  <c:v>7.8049590193280172E-2</c:v>
                </c:pt>
                <c:pt idx="5" formatCode="0.00">
                  <c:v>0.14927815970361791</c:v>
                </c:pt>
                <c:pt idx="6" formatCode="0.00">
                  <c:v>0.26084054872383344</c:v>
                </c:pt>
                <c:pt idx="7" formatCode="0.00">
                  <c:v>0.42204897938564789</c:v>
                </c:pt>
                <c:pt idx="8" formatCode="0.00">
                  <c:v>0.63961550489137409</c:v>
                </c:pt>
                <c:pt idx="9" formatCode="0.00">
                  <c:v>1.0636078404298113</c:v>
                </c:pt>
                <c:pt idx="10" formatCode="0.00">
                  <c:v>1.0640355037358216</c:v>
                </c:pt>
                <c:pt idx="11" formatCode="0.00">
                  <c:v>1.2825241149645521</c:v>
                </c:pt>
                <c:pt idx="12" formatCode="0.00">
                  <c:v>1.4035629215611092</c:v>
                </c:pt>
                <c:pt idx="13" formatCode="0.00">
                  <c:v>1.8163207691901437</c:v>
                </c:pt>
                <c:pt idx="14" formatCode="0.00">
                  <c:v>2.2761733171826339</c:v>
                </c:pt>
                <c:pt idx="15" formatCode="0.00">
                  <c:v>2.7757644646125001</c:v>
                </c:pt>
                <c:pt idx="16" formatCode="0.00">
                  <c:v>3.3076736802708933</c:v>
                </c:pt>
                <c:pt idx="17" formatCode="0.00">
                  <c:v>3.8650151090436857</c:v>
                </c:pt>
                <c:pt idx="18" formatCode="0.00">
                  <c:v>4.441789291947833</c:v>
                </c:pt>
                <c:pt idx="19" formatCode="0.00">
                  <c:v>5.0330253049735614</c:v>
                </c:pt>
                <c:pt idx="20" formatCode="0.00">
                  <c:v>5.6347718510772342</c:v>
                </c:pt>
                <c:pt idx="21" formatCode="0.00">
                  <c:v>6.2439963069217281</c:v>
                </c:pt>
              </c:numCache>
            </c:numRef>
          </c:yVal>
          <c:smooth val="1"/>
        </c:ser>
        <c:ser>
          <c:idx val="1"/>
          <c:order val="1"/>
          <c:spPr>
            <a:ln w="12700">
              <a:solidFill>
                <a:srgbClr val="000000"/>
              </a:solidFill>
              <a:prstDash val="sysDash"/>
            </a:ln>
          </c:spPr>
          <c:marker>
            <c:symbol val="none"/>
          </c:marker>
          <c:xVal>
            <c:numRef>
              <c:f>'Beisp. 10.4.8'!$F$2:$AA$2</c:f>
              <c:numCache>
                <c:formatCode>0.00</c:formatCode>
                <c:ptCount val="22"/>
                <c:pt idx="0">
                  <c:v>9.5</c:v>
                </c:pt>
                <c:pt idx="1">
                  <c:v>10.125</c:v>
                </c:pt>
                <c:pt idx="2">
                  <c:v>10.75</c:v>
                </c:pt>
                <c:pt idx="3">
                  <c:v>11.375</c:v>
                </c:pt>
                <c:pt idx="4">
                  <c:v>12</c:v>
                </c:pt>
                <c:pt idx="5">
                  <c:v>12.625</c:v>
                </c:pt>
                <c:pt idx="6">
                  <c:v>13.25</c:v>
                </c:pt>
                <c:pt idx="7">
                  <c:v>13.875</c:v>
                </c:pt>
                <c:pt idx="8">
                  <c:v>14.5</c:v>
                </c:pt>
                <c:pt idx="9">
                  <c:v>15.411199999999999</c:v>
                </c:pt>
                <c:pt idx="10">
                  <c:v>15.412000000000001</c:v>
                </c:pt>
                <c:pt idx="11">
                  <c:v>15.8</c:v>
                </c:pt>
                <c:pt idx="12">
                  <c:v>16</c:v>
                </c:pt>
                <c:pt idx="13">
                  <c:v>16.625</c:v>
                </c:pt>
                <c:pt idx="14">
                  <c:v>17.25</c:v>
                </c:pt>
                <c:pt idx="15">
                  <c:v>17.875</c:v>
                </c:pt>
                <c:pt idx="16">
                  <c:v>18.5</c:v>
                </c:pt>
                <c:pt idx="17">
                  <c:v>19.125</c:v>
                </c:pt>
                <c:pt idx="18">
                  <c:v>19.75</c:v>
                </c:pt>
                <c:pt idx="19">
                  <c:v>20.375</c:v>
                </c:pt>
                <c:pt idx="20">
                  <c:v>21</c:v>
                </c:pt>
                <c:pt idx="21">
                  <c:v>21.625</c:v>
                </c:pt>
              </c:numCache>
            </c:numRef>
          </c:xVal>
          <c:yVal>
            <c:numRef>
              <c:f>'Beisp. 10.4.8'!$F$4:$AA$4</c:f>
              <c:numCache>
                <c:formatCode>0.00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0.625</c:v>
                </c:pt>
                <c:pt idx="14">
                  <c:v>1.25</c:v>
                </c:pt>
                <c:pt idx="15">
                  <c:v>1.875</c:v>
                </c:pt>
                <c:pt idx="16">
                  <c:v>2.5</c:v>
                </c:pt>
                <c:pt idx="17">
                  <c:v>3.125</c:v>
                </c:pt>
                <c:pt idx="18">
                  <c:v>3.75</c:v>
                </c:pt>
                <c:pt idx="19">
                  <c:v>4.375</c:v>
                </c:pt>
                <c:pt idx="20">
                  <c:v>5</c:v>
                </c:pt>
                <c:pt idx="21">
                  <c:v>5.625</c:v>
                </c:pt>
              </c:numCache>
            </c:numRef>
          </c:yVal>
          <c:smooth val="0"/>
        </c:ser>
        <c:dLbls>
          <c:showLegendKey val="0"/>
          <c:showVal val="0"/>
          <c:showCatName val="0"/>
          <c:showSerName val="0"/>
          <c:showPercent val="0"/>
          <c:showBubbleSize val="0"/>
        </c:dLbls>
        <c:axId val="205415552"/>
        <c:axId val="205416128"/>
      </c:scatterChart>
      <c:valAx>
        <c:axId val="205415552"/>
        <c:scaling>
          <c:orientation val="minMax"/>
          <c:max val="22"/>
          <c:min val="10"/>
        </c:scaling>
        <c:delete val="0"/>
        <c:axPos val="b"/>
        <c:title>
          <c:tx>
            <c:rich>
              <a:bodyPr/>
              <a:lstStyle/>
              <a:p>
                <a:pPr>
                  <a:defRPr sz="800" b="1" i="0" u="none" strike="noStrike" baseline="0">
                    <a:solidFill>
                      <a:srgbClr val="000000"/>
                    </a:solidFill>
                    <a:latin typeface="Arial"/>
                    <a:ea typeface="Arial"/>
                    <a:cs typeface="Arial"/>
                  </a:defRPr>
                </a:pPr>
                <a:r>
                  <a:rPr lang="de-DE"/>
                  <a:t>Aktienkurs</a:t>
                </a:r>
              </a:p>
            </c:rich>
          </c:tx>
          <c:layout>
            <c:manualLayout>
              <c:xMode val="edge"/>
              <c:yMode val="edge"/>
              <c:x val="0.40893608024618855"/>
              <c:y val="0.8831795852337937"/>
            </c:manualLayout>
          </c:layout>
          <c:overlay val="0"/>
          <c:spPr>
            <a:noFill/>
            <a:ln w="25400">
              <a:noFill/>
            </a:ln>
          </c:spPr>
        </c:title>
        <c:numFmt formatCode="0" sourceLinked="0"/>
        <c:majorTickMark val="out"/>
        <c:minorTickMark val="cross"/>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05416128"/>
        <c:crosses val="autoZero"/>
        <c:crossBetween val="midCat"/>
        <c:majorUnit val="2"/>
        <c:minorUnit val="1"/>
      </c:valAx>
      <c:valAx>
        <c:axId val="205416128"/>
        <c:scaling>
          <c:orientation val="minMax"/>
          <c:min val="0"/>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05415552"/>
        <c:crosses val="autoZero"/>
        <c:crossBetween val="midCat"/>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de-DE"/>
              <a:t>Delta eines Calls</a:t>
            </a:r>
          </a:p>
        </c:rich>
      </c:tx>
      <c:layout>
        <c:manualLayout>
          <c:xMode val="edge"/>
          <c:yMode val="edge"/>
          <c:x val="0.33333450007875531"/>
          <c:y val="4.205617072541875E-2"/>
        </c:manualLayout>
      </c:layout>
      <c:overlay val="0"/>
      <c:spPr>
        <a:noFill/>
        <a:ln w="25400">
          <a:noFill/>
        </a:ln>
      </c:spPr>
    </c:title>
    <c:autoTitleDeleted val="0"/>
    <c:plotArea>
      <c:layout>
        <c:manualLayout>
          <c:layoutTarget val="inner"/>
          <c:xMode val="edge"/>
          <c:yMode val="edge"/>
          <c:x val="0.15053816132588949"/>
          <c:y val="0.14953305146815554"/>
          <c:w val="0.7813647421200931"/>
          <c:h val="0.63084256088128121"/>
        </c:manualLayout>
      </c:layout>
      <c:scatterChart>
        <c:scatterStyle val="smoothMarker"/>
        <c:varyColors val="0"/>
        <c:ser>
          <c:idx val="0"/>
          <c:order val="0"/>
          <c:spPr>
            <a:ln w="12700">
              <a:solidFill>
                <a:srgbClr val="000080"/>
              </a:solidFill>
              <a:prstDash val="solid"/>
            </a:ln>
          </c:spPr>
          <c:marker>
            <c:symbol val="none"/>
          </c:marker>
          <c:xVal>
            <c:numRef>
              <c:f>'Beisp. 10.4.8'!$F$2:$AA$2</c:f>
              <c:numCache>
                <c:formatCode>0.00</c:formatCode>
                <c:ptCount val="22"/>
                <c:pt idx="0">
                  <c:v>9.5</c:v>
                </c:pt>
                <c:pt idx="1">
                  <c:v>10.125</c:v>
                </c:pt>
                <c:pt idx="2">
                  <c:v>10.75</c:v>
                </c:pt>
                <c:pt idx="3">
                  <c:v>11.375</c:v>
                </c:pt>
                <c:pt idx="4">
                  <c:v>12</c:v>
                </c:pt>
                <c:pt idx="5">
                  <c:v>12.625</c:v>
                </c:pt>
                <c:pt idx="6">
                  <c:v>13.25</c:v>
                </c:pt>
                <c:pt idx="7">
                  <c:v>13.875</c:v>
                </c:pt>
                <c:pt idx="8">
                  <c:v>14.5</c:v>
                </c:pt>
                <c:pt idx="9">
                  <c:v>15.411199999999999</c:v>
                </c:pt>
                <c:pt idx="10">
                  <c:v>15.412000000000001</c:v>
                </c:pt>
                <c:pt idx="11">
                  <c:v>15.8</c:v>
                </c:pt>
                <c:pt idx="12">
                  <c:v>16</c:v>
                </c:pt>
                <c:pt idx="13">
                  <c:v>16.625</c:v>
                </c:pt>
                <c:pt idx="14">
                  <c:v>17.25</c:v>
                </c:pt>
                <c:pt idx="15">
                  <c:v>17.875</c:v>
                </c:pt>
                <c:pt idx="16">
                  <c:v>18.5</c:v>
                </c:pt>
                <c:pt idx="17">
                  <c:v>19.125</c:v>
                </c:pt>
                <c:pt idx="18">
                  <c:v>19.75</c:v>
                </c:pt>
                <c:pt idx="19">
                  <c:v>20.375</c:v>
                </c:pt>
                <c:pt idx="20">
                  <c:v>21</c:v>
                </c:pt>
                <c:pt idx="21">
                  <c:v>21.625</c:v>
                </c:pt>
              </c:numCache>
            </c:numRef>
          </c:xVal>
          <c:yVal>
            <c:numRef>
              <c:f>'Beisp. 10.4.8'!$F$5:$AA$5</c:f>
              <c:numCache>
                <c:formatCode>General</c:formatCode>
                <c:ptCount val="22"/>
                <c:pt idx="0">
                  <c:v>3.3988022388851172E-3</c:v>
                </c:pt>
                <c:pt idx="1">
                  <c:v>9.6745277467387043E-3</c:v>
                </c:pt>
                <c:pt idx="2">
                  <c:v>2.3135389089196549E-2</c:v>
                </c:pt>
                <c:pt idx="3">
                  <c:v>4.7792866285157214E-2</c:v>
                </c:pt>
                <c:pt idx="4">
                  <c:v>8.7259716658459899E-2</c:v>
                </c:pt>
                <c:pt idx="5">
                  <c:v>0.14350807967871496</c:v>
                </c:pt>
                <c:pt idx="6">
                  <c:v>0.21601497037605535</c:v>
                </c:pt>
                <c:pt idx="7">
                  <c:v>0.30166576015348945</c:v>
                </c:pt>
                <c:pt idx="8">
                  <c:v>0.39541416538503926</c:v>
                </c:pt>
                <c:pt idx="9">
                  <c:v>0.53451957564537023</c:v>
                </c:pt>
                <c:pt idx="10">
                  <c:v>0.53463868782978341</c:v>
                </c:pt>
                <c:pt idx="11">
                  <c:v>0.59114264137049766</c:v>
                </c:pt>
                <c:pt idx="12">
                  <c:v>0.61909656079420272</c:v>
                </c:pt>
                <c:pt idx="13">
                  <c:v>0.69997998818538754</c:v>
                </c:pt>
                <c:pt idx="14">
                  <c:v>0.7695639328975209</c:v>
                </c:pt>
                <c:pt idx="15">
                  <c:v>0.82713293249117559</c:v>
                </c:pt>
                <c:pt idx="16">
                  <c:v>0.87313111299527091</c:v>
                </c:pt>
                <c:pt idx="17">
                  <c:v>0.908758048929728</c:v>
                </c:pt>
                <c:pt idx="18">
                  <c:v>0.93559422571887407</c:v>
                </c:pt>
                <c:pt idx="19">
                  <c:v>0.95531021517297976</c:v>
                </c:pt>
                <c:pt idx="20">
                  <c:v>0.96947401803840483</c:v>
                </c:pt>
                <c:pt idx="21">
                  <c:v>0.97944614613617809</c:v>
                </c:pt>
              </c:numCache>
            </c:numRef>
          </c:yVal>
          <c:smooth val="1"/>
        </c:ser>
        <c:ser>
          <c:idx val="1"/>
          <c:order val="1"/>
          <c:spPr>
            <a:ln w="12700">
              <a:solidFill>
                <a:srgbClr val="000000"/>
              </a:solidFill>
              <a:prstDash val="sysDash"/>
            </a:ln>
          </c:spPr>
          <c:marker>
            <c:symbol val="none"/>
          </c:marker>
          <c:xVal>
            <c:numRef>
              <c:f>'Beisp. 10.4.8'!$F$9:$F$10</c:f>
              <c:numCache>
                <c:formatCode>0.00</c:formatCode>
                <c:ptCount val="2"/>
                <c:pt idx="0">
                  <c:v>16</c:v>
                </c:pt>
                <c:pt idx="1">
                  <c:v>16</c:v>
                </c:pt>
              </c:numCache>
            </c:numRef>
          </c:xVal>
          <c:yVal>
            <c:numRef>
              <c:f>'Beisp. 10.4.8'!$G$9:$G$10</c:f>
              <c:numCache>
                <c:formatCode>General</c:formatCode>
                <c:ptCount val="2"/>
                <c:pt idx="0" formatCode="0.00">
                  <c:v>0</c:v>
                </c:pt>
                <c:pt idx="1">
                  <c:v>1</c:v>
                </c:pt>
              </c:numCache>
            </c:numRef>
          </c:yVal>
          <c:smooth val="1"/>
        </c:ser>
        <c:dLbls>
          <c:showLegendKey val="0"/>
          <c:showVal val="0"/>
          <c:showCatName val="0"/>
          <c:showSerName val="0"/>
          <c:showPercent val="0"/>
          <c:showBubbleSize val="0"/>
        </c:dLbls>
        <c:axId val="205414976"/>
        <c:axId val="205417280"/>
      </c:scatterChart>
      <c:valAx>
        <c:axId val="205414976"/>
        <c:scaling>
          <c:orientation val="minMax"/>
          <c:max val="22"/>
          <c:min val="10"/>
        </c:scaling>
        <c:delete val="0"/>
        <c:axPos val="b"/>
        <c:title>
          <c:tx>
            <c:rich>
              <a:bodyPr/>
              <a:lstStyle/>
              <a:p>
                <a:pPr>
                  <a:defRPr sz="800" b="0" i="0" u="none" strike="noStrike" baseline="0">
                    <a:solidFill>
                      <a:srgbClr val="000000"/>
                    </a:solidFill>
                    <a:latin typeface="Arial"/>
                    <a:ea typeface="Arial"/>
                    <a:cs typeface="Arial"/>
                  </a:defRPr>
                </a:pPr>
                <a:r>
                  <a:rPr lang="de-DE"/>
                  <a:t>Aktienkurs</a:t>
                </a:r>
              </a:p>
            </c:rich>
          </c:tx>
          <c:layout>
            <c:manualLayout>
              <c:xMode val="edge"/>
              <c:yMode val="edge"/>
              <c:x val="0.77419625824743166"/>
              <c:y val="0.8831795852337937"/>
            </c:manualLayout>
          </c:layout>
          <c:overlay val="0"/>
          <c:spPr>
            <a:noFill/>
            <a:ln w="25400">
              <a:noFill/>
            </a:ln>
          </c:spPr>
        </c:title>
        <c:numFmt formatCode="0" sourceLinked="0"/>
        <c:majorTickMark val="out"/>
        <c:minorTickMark val="cross"/>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05417280"/>
        <c:crosses val="autoZero"/>
        <c:crossBetween val="midCat"/>
        <c:majorUnit val="2"/>
        <c:minorUnit val="1"/>
      </c:valAx>
      <c:valAx>
        <c:axId val="205417280"/>
        <c:scaling>
          <c:orientation val="minMax"/>
          <c:max val="1.02"/>
          <c:min val="0"/>
        </c:scaling>
        <c:delete val="0"/>
        <c:axPos val="l"/>
        <c:majorGridlines>
          <c:spPr>
            <a:ln w="3175">
              <a:solidFill>
                <a:srgbClr val="000000"/>
              </a:solidFill>
              <a:prstDash val="sysDash"/>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05414976"/>
        <c:crosses val="autoZero"/>
        <c:crossBetween val="midCat"/>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de-DE"/>
              <a:t>Delta eines Puts</a:t>
            </a:r>
          </a:p>
        </c:rich>
      </c:tx>
      <c:layout>
        <c:manualLayout>
          <c:xMode val="edge"/>
          <c:yMode val="edge"/>
          <c:x val="0.32852043469447112"/>
          <c:y val="5.2381195969103282E-2"/>
        </c:manualLayout>
      </c:layout>
      <c:overlay val="0"/>
      <c:spPr>
        <a:noFill/>
        <a:ln w="25400">
          <a:noFill/>
        </a:ln>
      </c:spPr>
    </c:title>
    <c:autoTitleDeleted val="0"/>
    <c:plotArea>
      <c:layout>
        <c:manualLayout>
          <c:layoutTarget val="inner"/>
          <c:xMode val="edge"/>
          <c:yMode val="edge"/>
          <c:x val="0.16606527468072166"/>
          <c:y val="0.285715614376927"/>
          <c:w val="0.7653443093981086"/>
          <c:h val="0.57143122875385399"/>
        </c:manualLayout>
      </c:layout>
      <c:scatterChart>
        <c:scatterStyle val="smoothMarker"/>
        <c:varyColors val="0"/>
        <c:ser>
          <c:idx val="0"/>
          <c:order val="0"/>
          <c:spPr>
            <a:ln w="12700">
              <a:solidFill>
                <a:srgbClr val="000080"/>
              </a:solidFill>
              <a:prstDash val="solid"/>
            </a:ln>
          </c:spPr>
          <c:marker>
            <c:symbol val="none"/>
          </c:marker>
          <c:xVal>
            <c:numRef>
              <c:f>'Beisp. 10.4.8'!$F$2:$AA$2</c:f>
              <c:numCache>
                <c:formatCode>0.00</c:formatCode>
                <c:ptCount val="22"/>
                <c:pt idx="0">
                  <c:v>9.5</c:v>
                </c:pt>
                <c:pt idx="1">
                  <c:v>10.125</c:v>
                </c:pt>
                <c:pt idx="2">
                  <c:v>10.75</c:v>
                </c:pt>
                <c:pt idx="3">
                  <c:v>11.375</c:v>
                </c:pt>
                <c:pt idx="4">
                  <c:v>12</c:v>
                </c:pt>
                <c:pt idx="5">
                  <c:v>12.625</c:v>
                </c:pt>
                <c:pt idx="6">
                  <c:v>13.25</c:v>
                </c:pt>
                <c:pt idx="7">
                  <c:v>13.875</c:v>
                </c:pt>
                <c:pt idx="8">
                  <c:v>14.5</c:v>
                </c:pt>
                <c:pt idx="9">
                  <c:v>15.411199999999999</c:v>
                </c:pt>
                <c:pt idx="10">
                  <c:v>15.412000000000001</c:v>
                </c:pt>
                <c:pt idx="11">
                  <c:v>15.8</c:v>
                </c:pt>
                <c:pt idx="12">
                  <c:v>16</c:v>
                </c:pt>
                <c:pt idx="13">
                  <c:v>16.625</c:v>
                </c:pt>
                <c:pt idx="14">
                  <c:v>17.25</c:v>
                </c:pt>
                <c:pt idx="15">
                  <c:v>17.875</c:v>
                </c:pt>
                <c:pt idx="16">
                  <c:v>18.5</c:v>
                </c:pt>
                <c:pt idx="17">
                  <c:v>19.125</c:v>
                </c:pt>
                <c:pt idx="18">
                  <c:v>19.75</c:v>
                </c:pt>
                <c:pt idx="19">
                  <c:v>20.375</c:v>
                </c:pt>
                <c:pt idx="20">
                  <c:v>21</c:v>
                </c:pt>
                <c:pt idx="21">
                  <c:v>21.625</c:v>
                </c:pt>
              </c:numCache>
            </c:numRef>
          </c:xVal>
          <c:yVal>
            <c:numRef>
              <c:f>'Beisp. 10.4.8'!$F$6:$AA$6</c:f>
              <c:numCache>
                <c:formatCode>General</c:formatCode>
                <c:ptCount val="22"/>
                <c:pt idx="0">
                  <c:v>-0.99660119776111489</c:v>
                </c:pt>
                <c:pt idx="1">
                  <c:v>-0.99032547225326129</c:v>
                </c:pt>
                <c:pt idx="2">
                  <c:v>-0.97686461091080345</c:v>
                </c:pt>
                <c:pt idx="3">
                  <c:v>-0.95220713371484278</c:v>
                </c:pt>
                <c:pt idx="4">
                  <c:v>-0.91274028334154012</c:v>
                </c:pt>
                <c:pt idx="5">
                  <c:v>-0.85649192032128507</c:v>
                </c:pt>
                <c:pt idx="6">
                  <c:v>-0.78398502962394467</c:v>
                </c:pt>
                <c:pt idx="7">
                  <c:v>-0.69833423984651055</c:v>
                </c:pt>
                <c:pt idx="8">
                  <c:v>-0.60458583461496074</c:v>
                </c:pt>
                <c:pt idx="9">
                  <c:v>-0.46548042435462977</c:v>
                </c:pt>
                <c:pt idx="10">
                  <c:v>-0.46536131217021659</c:v>
                </c:pt>
                <c:pt idx="11">
                  <c:v>-0.40885735862950234</c:v>
                </c:pt>
                <c:pt idx="12">
                  <c:v>-0.38090343920579728</c:v>
                </c:pt>
                <c:pt idx="13">
                  <c:v>-0.30002001181461246</c:v>
                </c:pt>
                <c:pt idx="14">
                  <c:v>-0.2304360671024791</c:v>
                </c:pt>
                <c:pt idx="15">
                  <c:v>-0.17286706750882441</c:v>
                </c:pt>
                <c:pt idx="16">
                  <c:v>-0.12686888700472909</c:v>
                </c:pt>
                <c:pt idx="17">
                  <c:v>-9.1241951070271998E-2</c:v>
                </c:pt>
                <c:pt idx="18">
                  <c:v>-6.4405774281125927E-2</c:v>
                </c:pt>
                <c:pt idx="19">
                  <c:v>-4.468978482702024E-2</c:v>
                </c:pt>
                <c:pt idx="20">
                  <c:v>-3.0525981961595172E-2</c:v>
                </c:pt>
                <c:pt idx="21">
                  <c:v>-2.0553853863821914E-2</c:v>
                </c:pt>
              </c:numCache>
            </c:numRef>
          </c:yVal>
          <c:smooth val="1"/>
        </c:ser>
        <c:ser>
          <c:idx val="1"/>
          <c:order val="1"/>
          <c:spPr>
            <a:ln w="12700">
              <a:solidFill>
                <a:srgbClr val="000000"/>
              </a:solidFill>
              <a:prstDash val="sysDash"/>
            </a:ln>
          </c:spPr>
          <c:marker>
            <c:symbol val="none"/>
          </c:marker>
          <c:xVal>
            <c:numRef>
              <c:f>'Beisp. 10.4.8'!$F$9:$F$10</c:f>
              <c:numCache>
                <c:formatCode>0.00</c:formatCode>
                <c:ptCount val="2"/>
                <c:pt idx="0">
                  <c:v>16</c:v>
                </c:pt>
                <c:pt idx="1">
                  <c:v>16</c:v>
                </c:pt>
              </c:numCache>
            </c:numRef>
          </c:xVal>
          <c:yVal>
            <c:numRef>
              <c:f>'Beisp. 10.4.8'!$G$9:$G$10</c:f>
              <c:numCache>
                <c:formatCode>General</c:formatCode>
                <c:ptCount val="2"/>
                <c:pt idx="0" formatCode="0.00">
                  <c:v>0</c:v>
                </c:pt>
                <c:pt idx="1">
                  <c:v>1</c:v>
                </c:pt>
              </c:numCache>
            </c:numRef>
          </c:yVal>
          <c:smooth val="1"/>
        </c:ser>
        <c:dLbls>
          <c:showLegendKey val="0"/>
          <c:showVal val="0"/>
          <c:showCatName val="0"/>
          <c:showSerName val="0"/>
          <c:showPercent val="0"/>
          <c:showBubbleSize val="0"/>
        </c:dLbls>
        <c:axId val="205416704"/>
        <c:axId val="205419584"/>
      </c:scatterChart>
      <c:valAx>
        <c:axId val="205416704"/>
        <c:scaling>
          <c:orientation val="minMax"/>
          <c:max val="22"/>
          <c:min val="10"/>
        </c:scaling>
        <c:delete val="0"/>
        <c:axPos val="b"/>
        <c:title>
          <c:tx>
            <c:rich>
              <a:bodyPr/>
              <a:lstStyle/>
              <a:p>
                <a:pPr>
                  <a:defRPr sz="800" b="0" i="0" u="none" strike="noStrike" baseline="0">
                    <a:solidFill>
                      <a:srgbClr val="000000"/>
                    </a:solidFill>
                    <a:latin typeface="Arial"/>
                    <a:ea typeface="Arial"/>
                    <a:cs typeface="Arial"/>
                  </a:defRPr>
                </a:pPr>
                <a:r>
                  <a:rPr lang="de-DE"/>
                  <a:t>Aktienkurs</a:t>
                </a:r>
              </a:p>
            </c:rich>
          </c:tx>
          <c:layout>
            <c:manualLayout>
              <c:xMode val="edge"/>
              <c:yMode val="edge"/>
              <c:x val="0.78339488273296964"/>
              <c:y val="9.5238538125642327E-2"/>
            </c:manualLayout>
          </c:layout>
          <c:overlay val="0"/>
          <c:spPr>
            <a:noFill/>
            <a:ln w="25400">
              <a:noFill/>
            </a:ln>
          </c:spPr>
        </c:title>
        <c:numFmt formatCode="#;#;#" sourceLinked="0"/>
        <c:majorTickMark val="out"/>
        <c:minorTickMark val="cross"/>
        <c:tickLblPos val="high"/>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05419584"/>
        <c:crosses val="autoZero"/>
        <c:crossBetween val="midCat"/>
        <c:majorUnit val="2"/>
        <c:minorUnit val="1"/>
      </c:valAx>
      <c:valAx>
        <c:axId val="205419584"/>
        <c:scaling>
          <c:orientation val="minMax"/>
          <c:max val="0"/>
          <c:min val="-1"/>
        </c:scaling>
        <c:delete val="0"/>
        <c:axPos val="l"/>
        <c:majorGridlines>
          <c:spPr>
            <a:ln w="3175">
              <a:solidFill>
                <a:srgbClr val="000000"/>
              </a:solidFill>
              <a:prstDash val="sysDash"/>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05416704"/>
        <c:crosses val="autoZero"/>
        <c:crossBetween val="midCat"/>
        <c:majorUnit val="0.2"/>
        <c:minorUnit val="0.1"/>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de-DE"/>
              <a:t>Fairer Call-Preis</a:t>
            </a:r>
          </a:p>
        </c:rich>
      </c:tx>
      <c:layout>
        <c:manualLayout>
          <c:xMode val="edge"/>
          <c:yMode val="edge"/>
          <c:x val="0.34246632609549926"/>
          <c:y val="3.7209302325581395E-2"/>
        </c:manualLayout>
      </c:layout>
      <c:overlay val="0"/>
      <c:spPr>
        <a:noFill/>
        <a:ln w="25400">
          <a:noFill/>
        </a:ln>
      </c:spPr>
    </c:title>
    <c:autoTitleDeleted val="0"/>
    <c:plotArea>
      <c:layout>
        <c:manualLayout>
          <c:layoutTarget val="inner"/>
          <c:xMode val="edge"/>
          <c:yMode val="edge"/>
          <c:x val="0.11301388761151476"/>
          <c:y val="0.14883720930232558"/>
          <c:w val="0.82191918262919827"/>
          <c:h val="0.62325581395348839"/>
        </c:manualLayout>
      </c:layout>
      <c:scatterChart>
        <c:scatterStyle val="smoothMarker"/>
        <c:varyColors val="0"/>
        <c:ser>
          <c:idx val="0"/>
          <c:order val="0"/>
          <c:spPr>
            <a:ln w="12700">
              <a:solidFill>
                <a:srgbClr val="000080"/>
              </a:solidFill>
              <a:prstDash val="solid"/>
            </a:ln>
          </c:spPr>
          <c:marker>
            <c:symbol val="none"/>
          </c:marker>
          <c:xVal>
            <c:numRef>
              <c:f>'Beisp. 10.4.8'!$F$2:$AA$2</c:f>
              <c:numCache>
                <c:formatCode>0.00</c:formatCode>
                <c:ptCount val="22"/>
                <c:pt idx="0">
                  <c:v>9.5</c:v>
                </c:pt>
                <c:pt idx="1">
                  <c:v>10.125</c:v>
                </c:pt>
                <c:pt idx="2">
                  <c:v>10.75</c:v>
                </c:pt>
                <c:pt idx="3">
                  <c:v>11.375</c:v>
                </c:pt>
                <c:pt idx="4">
                  <c:v>12</c:v>
                </c:pt>
                <c:pt idx="5">
                  <c:v>12.625</c:v>
                </c:pt>
                <c:pt idx="6">
                  <c:v>13.25</c:v>
                </c:pt>
                <c:pt idx="7">
                  <c:v>13.875</c:v>
                </c:pt>
                <c:pt idx="8">
                  <c:v>14.5</c:v>
                </c:pt>
                <c:pt idx="9">
                  <c:v>15.411199999999999</c:v>
                </c:pt>
                <c:pt idx="10">
                  <c:v>15.412000000000001</c:v>
                </c:pt>
                <c:pt idx="11">
                  <c:v>15.8</c:v>
                </c:pt>
                <c:pt idx="12">
                  <c:v>16</c:v>
                </c:pt>
                <c:pt idx="13">
                  <c:v>16.625</c:v>
                </c:pt>
                <c:pt idx="14">
                  <c:v>17.25</c:v>
                </c:pt>
                <c:pt idx="15">
                  <c:v>17.875</c:v>
                </c:pt>
                <c:pt idx="16">
                  <c:v>18.5</c:v>
                </c:pt>
                <c:pt idx="17">
                  <c:v>19.125</c:v>
                </c:pt>
                <c:pt idx="18">
                  <c:v>19.75</c:v>
                </c:pt>
                <c:pt idx="19">
                  <c:v>20.375</c:v>
                </c:pt>
                <c:pt idx="20">
                  <c:v>21</c:v>
                </c:pt>
                <c:pt idx="21">
                  <c:v>21.625</c:v>
                </c:pt>
              </c:numCache>
            </c:numRef>
          </c:xVal>
          <c:yVal>
            <c:numRef>
              <c:f>'Beisp. 10.4.8'!$F$3:$AA$3</c:f>
              <c:numCache>
                <c:formatCode>0.0000</c:formatCode>
                <c:ptCount val="22"/>
                <c:pt idx="0">
                  <c:v>1.6266198842962223E-3</c:v>
                </c:pt>
                <c:pt idx="1">
                  <c:v>5.4348875559942361E-3</c:v>
                </c:pt>
                <c:pt idx="2">
                  <c:v>1.5211479680661222E-2</c:v>
                </c:pt>
                <c:pt idx="3">
                  <c:v>3.6689358018067386E-2</c:v>
                </c:pt>
                <c:pt idx="4" formatCode="0.00">
                  <c:v>7.8049590193280172E-2</c:v>
                </c:pt>
                <c:pt idx="5" formatCode="0.00">
                  <c:v>0.14927815970361791</c:v>
                </c:pt>
                <c:pt idx="6" formatCode="0.00">
                  <c:v>0.26084054872383344</c:v>
                </c:pt>
                <c:pt idx="7" formatCode="0.00">
                  <c:v>0.42204897938564789</c:v>
                </c:pt>
                <c:pt idx="8" formatCode="0.00">
                  <c:v>0.63961550489137409</c:v>
                </c:pt>
                <c:pt idx="9" formatCode="0.00">
                  <c:v>1.0636078404298113</c:v>
                </c:pt>
                <c:pt idx="10" formatCode="0.00">
                  <c:v>1.0640355037358216</c:v>
                </c:pt>
                <c:pt idx="11" formatCode="0.00">
                  <c:v>1.2825241149645521</c:v>
                </c:pt>
                <c:pt idx="12" formatCode="0.00">
                  <c:v>1.4035629215611092</c:v>
                </c:pt>
                <c:pt idx="13" formatCode="0.00">
                  <c:v>1.8163207691901437</c:v>
                </c:pt>
                <c:pt idx="14" formatCode="0.00">
                  <c:v>2.2761733171826339</c:v>
                </c:pt>
                <c:pt idx="15" formatCode="0.00">
                  <c:v>2.7757644646125001</c:v>
                </c:pt>
                <c:pt idx="16" formatCode="0.00">
                  <c:v>3.3076736802708933</c:v>
                </c:pt>
                <c:pt idx="17" formatCode="0.00">
                  <c:v>3.8650151090436857</c:v>
                </c:pt>
                <c:pt idx="18" formatCode="0.00">
                  <c:v>4.441789291947833</c:v>
                </c:pt>
                <c:pt idx="19" formatCode="0.00">
                  <c:v>5.0330253049735614</c:v>
                </c:pt>
                <c:pt idx="20" formatCode="0.00">
                  <c:v>5.6347718510772342</c:v>
                </c:pt>
                <c:pt idx="21" formatCode="0.00">
                  <c:v>6.2439963069217281</c:v>
                </c:pt>
              </c:numCache>
            </c:numRef>
          </c:yVal>
          <c:smooth val="1"/>
        </c:ser>
        <c:ser>
          <c:idx val="1"/>
          <c:order val="1"/>
          <c:spPr>
            <a:ln w="3175">
              <a:solidFill>
                <a:srgbClr val="000000"/>
              </a:solidFill>
              <a:prstDash val="sysDash"/>
            </a:ln>
          </c:spPr>
          <c:marker>
            <c:symbol val="none"/>
          </c:marker>
          <c:xVal>
            <c:numRef>
              <c:f>'Beisp. 10.4.8'!$F$2:$AA$2</c:f>
              <c:numCache>
                <c:formatCode>0.00</c:formatCode>
                <c:ptCount val="22"/>
                <c:pt idx="0">
                  <c:v>9.5</c:v>
                </c:pt>
                <c:pt idx="1">
                  <c:v>10.125</c:v>
                </c:pt>
                <c:pt idx="2">
                  <c:v>10.75</c:v>
                </c:pt>
                <c:pt idx="3">
                  <c:v>11.375</c:v>
                </c:pt>
                <c:pt idx="4">
                  <c:v>12</c:v>
                </c:pt>
                <c:pt idx="5">
                  <c:v>12.625</c:v>
                </c:pt>
                <c:pt idx="6">
                  <c:v>13.25</c:v>
                </c:pt>
                <c:pt idx="7">
                  <c:v>13.875</c:v>
                </c:pt>
                <c:pt idx="8">
                  <c:v>14.5</c:v>
                </c:pt>
                <c:pt idx="9">
                  <c:v>15.411199999999999</c:v>
                </c:pt>
                <c:pt idx="10">
                  <c:v>15.412000000000001</c:v>
                </c:pt>
                <c:pt idx="11">
                  <c:v>15.8</c:v>
                </c:pt>
                <c:pt idx="12">
                  <c:v>16</c:v>
                </c:pt>
                <c:pt idx="13">
                  <c:v>16.625</c:v>
                </c:pt>
                <c:pt idx="14">
                  <c:v>17.25</c:v>
                </c:pt>
                <c:pt idx="15">
                  <c:v>17.875</c:v>
                </c:pt>
                <c:pt idx="16">
                  <c:v>18.5</c:v>
                </c:pt>
                <c:pt idx="17">
                  <c:v>19.125</c:v>
                </c:pt>
                <c:pt idx="18">
                  <c:v>19.75</c:v>
                </c:pt>
                <c:pt idx="19">
                  <c:v>20.375</c:v>
                </c:pt>
                <c:pt idx="20">
                  <c:v>21</c:v>
                </c:pt>
                <c:pt idx="21">
                  <c:v>21.625</c:v>
                </c:pt>
              </c:numCache>
            </c:numRef>
          </c:xVal>
          <c:yVal>
            <c:numRef>
              <c:f>'Beisp. 10.4.8'!$F$4:$AA$4</c:f>
              <c:numCache>
                <c:formatCode>0.00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0.625</c:v>
                </c:pt>
                <c:pt idx="14">
                  <c:v>1.25</c:v>
                </c:pt>
                <c:pt idx="15">
                  <c:v>1.875</c:v>
                </c:pt>
                <c:pt idx="16">
                  <c:v>2.5</c:v>
                </c:pt>
                <c:pt idx="17">
                  <c:v>3.125</c:v>
                </c:pt>
                <c:pt idx="18">
                  <c:v>3.75</c:v>
                </c:pt>
                <c:pt idx="19">
                  <c:v>4.375</c:v>
                </c:pt>
                <c:pt idx="20">
                  <c:v>5</c:v>
                </c:pt>
                <c:pt idx="21">
                  <c:v>5.625</c:v>
                </c:pt>
              </c:numCache>
            </c:numRef>
          </c:yVal>
          <c:smooth val="0"/>
        </c:ser>
        <c:ser>
          <c:idx val="2"/>
          <c:order val="2"/>
          <c:spPr>
            <a:ln w="3175">
              <a:solidFill>
                <a:srgbClr val="000000"/>
              </a:solidFill>
              <a:prstDash val="solid"/>
            </a:ln>
          </c:spPr>
          <c:marker>
            <c:symbol val="none"/>
          </c:marker>
          <c:xVal>
            <c:numRef>
              <c:f>'Beisp. 10.4.8'!$F$2:$AA$2</c:f>
              <c:numCache>
                <c:formatCode>0.00</c:formatCode>
                <c:ptCount val="22"/>
                <c:pt idx="0">
                  <c:v>9.5</c:v>
                </c:pt>
                <c:pt idx="1">
                  <c:v>10.125</c:v>
                </c:pt>
                <c:pt idx="2">
                  <c:v>10.75</c:v>
                </c:pt>
                <c:pt idx="3">
                  <c:v>11.375</c:v>
                </c:pt>
                <c:pt idx="4">
                  <c:v>12</c:v>
                </c:pt>
                <c:pt idx="5">
                  <c:v>12.625</c:v>
                </c:pt>
                <c:pt idx="6">
                  <c:v>13.25</c:v>
                </c:pt>
                <c:pt idx="7">
                  <c:v>13.875</c:v>
                </c:pt>
                <c:pt idx="8">
                  <c:v>14.5</c:v>
                </c:pt>
                <c:pt idx="9">
                  <c:v>15.411199999999999</c:v>
                </c:pt>
                <c:pt idx="10">
                  <c:v>15.412000000000001</c:v>
                </c:pt>
                <c:pt idx="11">
                  <c:v>15.8</c:v>
                </c:pt>
                <c:pt idx="12">
                  <c:v>16</c:v>
                </c:pt>
                <c:pt idx="13">
                  <c:v>16.625</c:v>
                </c:pt>
                <c:pt idx="14">
                  <c:v>17.25</c:v>
                </c:pt>
                <c:pt idx="15">
                  <c:v>17.875</c:v>
                </c:pt>
                <c:pt idx="16">
                  <c:v>18.5</c:v>
                </c:pt>
                <c:pt idx="17">
                  <c:v>19.125</c:v>
                </c:pt>
                <c:pt idx="18">
                  <c:v>19.75</c:v>
                </c:pt>
                <c:pt idx="19">
                  <c:v>20.375</c:v>
                </c:pt>
                <c:pt idx="20">
                  <c:v>21</c:v>
                </c:pt>
                <c:pt idx="21">
                  <c:v>21.625</c:v>
                </c:pt>
              </c:numCache>
            </c:numRef>
          </c:xVal>
          <c:yVal>
            <c:numRef>
              <c:f>'Beisp. 10.4.8'!$F$8:$AA$8</c:f>
              <c:numCache>
                <c:formatCode>General</c:formatCode>
                <c:ptCount val="22"/>
                <c:pt idx="0">
                  <c:v>0</c:v>
                </c:pt>
                <c:pt idx="1">
                  <c:v>0</c:v>
                </c:pt>
                <c:pt idx="2">
                  <c:v>0</c:v>
                </c:pt>
                <c:pt idx="3">
                  <c:v>0</c:v>
                </c:pt>
                <c:pt idx="4">
                  <c:v>0</c:v>
                </c:pt>
                <c:pt idx="5">
                  <c:v>0</c:v>
                </c:pt>
                <c:pt idx="6">
                  <c:v>0</c:v>
                </c:pt>
                <c:pt idx="7">
                  <c:v>0</c:v>
                </c:pt>
                <c:pt idx="8">
                  <c:v>0</c:v>
                </c:pt>
                <c:pt idx="9">
                  <c:v>8.9316466850064558E-5</c:v>
                </c:pt>
                <c:pt idx="10">
                  <c:v>8.8931646685175281E-4</c:v>
                </c:pt>
                <c:pt idx="11">
                  <c:v>0.38888931646685165</c:v>
                </c:pt>
                <c:pt idx="12">
                  <c:v>0.58888931646685094</c:v>
                </c:pt>
                <c:pt idx="13">
                  <c:v>1.2138893164668509</c:v>
                </c:pt>
                <c:pt idx="14">
                  <c:v>1.8388893164668509</c:v>
                </c:pt>
                <c:pt idx="15">
                  <c:v>2.4638893164668509</c:v>
                </c:pt>
                <c:pt idx="16">
                  <c:v>3.0888893164668509</c:v>
                </c:pt>
                <c:pt idx="17">
                  <c:v>3.7138893164668509</c:v>
                </c:pt>
                <c:pt idx="18">
                  <c:v>4.3388893164668509</c:v>
                </c:pt>
                <c:pt idx="19">
                  <c:v>4.9638893164668509</c:v>
                </c:pt>
                <c:pt idx="20">
                  <c:v>5.5888893164668509</c:v>
                </c:pt>
                <c:pt idx="21">
                  <c:v>6.2138893164668509</c:v>
                </c:pt>
              </c:numCache>
            </c:numRef>
          </c:yVal>
          <c:smooth val="0"/>
        </c:ser>
        <c:dLbls>
          <c:showLegendKey val="0"/>
          <c:showVal val="0"/>
          <c:showCatName val="0"/>
          <c:showSerName val="0"/>
          <c:showPercent val="0"/>
          <c:showBubbleSize val="0"/>
        </c:dLbls>
        <c:axId val="206357632"/>
        <c:axId val="206358208"/>
      </c:scatterChart>
      <c:valAx>
        <c:axId val="206357632"/>
        <c:scaling>
          <c:orientation val="minMax"/>
          <c:max val="22"/>
          <c:min val="10"/>
        </c:scaling>
        <c:delete val="0"/>
        <c:axPos val="b"/>
        <c:title>
          <c:tx>
            <c:rich>
              <a:bodyPr/>
              <a:lstStyle/>
              <a:p>
                <a:pPr>
                  <a:defRPr sz="800" b="1" i="0" u="none" strike="noStrike" baseline="0">
                    <a:solidFill>
                      <a:srgbClr val="000000"/>
                    </a:solidFill>
                    <a:latin typeface="Arial"/>
                    <a:ea typeface="Arial"/>
                    <a:cs typeface="Arial"/>
                  </a:defRPr>
                </a:pPr>
                <a:r>
                  <a:rPr lang="de-DE"/>
                  <a:t>Aktienkurs</a:t>
                </a:r>
              </a:p>
            </c:rich>
          </c:tx>
          <c:layout>
            <c:manualLayout>
              <c:xMode val="edge"/>
              <c:yMode val="edge"/>
              <c:x val="0.41095959131459914"/>
              <c:y val="0.88372093023255816"/>
            </c:manualLayout>
          </c:layout>
          <c:overlay val="0"/>
          <c:spPr>
            <a:noFill/>
            <a:ln w="25400">
              <a:noFill/>
            </a:ln>
          </c:spPr>
        </c:title>
        <c:numFmt formatCode="0" sourceLinked="0"/>
        <c:majorTickMark val="out"/>
        <c:minorTickMark val="cross"/>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06358208"/>
        <c:crosses val="autoZero"/>
        <c:crossBetween val="midCat"/>
        <c:majorUnit val="2"/>
        <c:minorUnit val="1"/>
      </c:valAx>
      <c:valAx>
        <c:axId val="206358208"/>
        <c:scaling>
          <c:orientation val="minMax"/>
          <c:min val="0"/>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06357632"/>
        <c:crosses val="autoZero"/>
        <c:crossBetween val="midCat"/>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3</xdr:col>
      <xdr:colOff>76200</xdr:colOff>
      <xdr:row>0</xdr:row>
      <xdr:rowOff>0</xdr:rowOff>
    </xdr:from>
    <xdr:to>
      <xdr:col>6</xdr:col>
      <xdr:colOff>381000</xdr:colOff>
      <xdr:row>15</xdr:row>
      <xdr:rowOff>133350</xdr:rowOff>
    </xdr:to>
    <xdr:graphicFrame macro="">
      <xdr:nvGraphicFramePr>
        <xdr:cNvPr id="3073"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371475</xdr:colOff>
      <xdr:row>0</xdr:row>
      <xdr:rowOff>0</xdr:rowOff>
    </xdr:from>
    <xdr:to>
      <xdr:col>9</xdr:col>
      <xdr:colOff>685800</xdr:colOff>
      <xdr:row>15</xdr:row>
      <xdr:rowOff>114300</xdr:rowOff>
    </xdr:to>
    <xdr:graphicFrame macro="">
      <xdr:nvGraphicFramePr>
        <xdr:cNvPr id="3074"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6</xdr:col>
      <xdr:colOff>666750</xdr:colOff>
      <xdr:row>26</xdr:row>
      <xdr:rowOff>76200</xdr:rowOff>
    </xdr:from>
    <xdr:to>
      <xdr:col>13</xdr:col>
      <xdr:colOff>76200</xdr:colOff>
      <xdr:row>42</xdr:row>
      <xdr:rowOff>142875</xdr:rowOff>
    </xdr:to>
    <xdr:graphicFrame macro="">
      <xdr:nvGraphicFramePr>
        <xdr:cNvPr id="8203"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25</xdr:row>
      <xdr:rowOff>0</xdr:rowOff>
    </xdr:from>
    <xdr:to>
      <xdr:col>6</xdr:col>
      <xdr:colOff>419100</xdr:colOff>
      <xdr:row>42</xdr:row>
      <xdr:rowOff>142875</xdr:rowOff>
    </xdr:to>
    <xdr:graphicFrame macro="">
      <xdr:nvGraphicFramePr>
        <xdr:cNvPr id="5121"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600075</xdr:colOff>
      <xdr:row>2</xdr:row>
      <xdr:rowOff>28575</xdr:rowOff>
    </xdr:from>
    <xdr:to>
      <xdr:col>5</xdr:col>
      <xdr:colOff>666750</xdr:colOff>
      <xdr:row>14</xdr:row>
      <xdr:rowOff>47625</xdr:rowOff>
    </xdr:to>
    <xdr:graphicFrame macro="">
      <xdr:nvGraphicFramePr>
        <xdr:cNvPr id="9217"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5</xdr:col>
      <xdr:colOff>419100</xdr:colOff>
      <xdr:row>0</xdr:row>
      <xdr:rowOff>0</xdr:rowOff>
    </xdr:from>
    <xdr:to>
      <xdr:col>9</xdr:col>
      <xdr:colOff>628650</xdr:colOff>
      <xdr:row>16</xdr:row>
      <xdr:rowOff>95250</xdr:rowOff>
    </xdr:to>
    <xdr:graphicFrame macro="">
      <xdr:nvGraphicFramePr>
        <xdr:cNvPr id="19457"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7</xdr:col>
      <xdr:colOff>0</xdr:colOff>
      <xdr:row>3</xdr:row>
      <xdr:rowOff>114300</xdr:rowOff>
    </xdr:from>
    <xdr:to>
      <xdr:col>11</xdr:col>
      <xdr:colOff>209550</xdr:colOff>
      <xdr:row>20</xdr:row>
      <xdr:rowOff>47625</xdr:rowOff>
    </xdr:to>
    <xdr:graphicFrame macro="">
      <xdr:nvGraphicFramePr>
        <xdr:cNvPr id="15361"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6</xdr:col>
      <xdr:colOff>733425</xdr:colOff>
      <xdr:row>13</xdr:row>
      <xdr:rowOff>57150</xdr:rowOff>
    </xdr:from>
    <xdr:to>
      <xdr:col>11</xdr:col>
      <xdr:colOff>180975</xdr:colOff>
      <xdr:row>29</xdr:row>
      <xdr:rowOff>152400</xdr:rowOff>
    </xdr:to>
    <xdr:graphicFrame macro="">
      <xdr:nvGraphicFramePr>
        <xdr:cNvPr id="14337"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419100</xdr:colOff>
      <xdr:row>0</xdr:row>
      <xdr:rowOff>47625</xdr:rowOff>
    </xdr:from>
    <xdr:to>
      <xdr:col>9</xdr:col>
      <xdr:colOff>390525</xdr:colOff>
      <xdr:row>14</xdr:row>
      <xdr:rowOff>19050</xdr:rowOff>
    </xdr:to>
    <xdr:graphicFrame macro="">
      <xdr:nvGraphicFramePr>
        <xdr:cNvPr id="10241"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171450</xdr:colOff>
      <xdr:row>1</xdr:row>
      <xdr:rowOff>0</xdr:rowOff>
    </xdr:from>
    <xdr:to>
      <xdr:col>7</xdr:col>
      <xdr:colOff>704850</xdr:colOff>
      <xdr:row>15</xdr:row>
      <xdr:rowOff>85725</xdr:rowOff>
    </xdr:to>
    <xdr:graphicFrame macro="">
      <xdr:nvGraphicFramePr>
        <xdr:cNvPr id="20481"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0.33616</cdr:x>
      <cdr:y>0.15308</cdr:y>
    </cdr:from>
    <cdr:to>
      <cdr:x>0.47496</cdr:x>
      <cdr:y>0.21785</cdr:y>
    </cdr:to>
    <cdr:sp macro="" textlink="">
      <cdr:nvSpPr>
        <cdr:cNvPr id="22529" name="Text Box 1"/>
        <cdr:cNvSpPr txBox="1">
          <a:spLocks xmlns:a="http://schemas.openxmlformats.org/drawingml/2006/main" noChangeArrowheads="1"/>
        </cdr:cNvSpPr>
      </cdr:nvSpPr>
      <cdr:spPr bwMode="auto">
        <a:xfrm xmlns:a="http://schemas.openxmlformats.org/drawingml/2006/main">
          <a:off x="698002" y="364773"/>
          <a:ext cx="286879" cy="1530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Put</a:t>
          </a:r>
        </a:p>
      </cdr:txBody>
    </cdr:sp>
  </cdr:relSizeAnchor>
  <cdr:relSizeAnchor xmlns:cdr="http://schemas.openxmlformats.org/drawingml/2006/chartDrawing">
    <cdr:from>
      <cdr:x>0.74659</cdr:x>
      <cdr:y>0.51583</cdr:y>
    </cdr:from>
    <cdr:to>
      <cdr:x>0.97696</cdr:x>
      <cdr:y>0.58853</cdr:y>
    </cdr:to>
    <cdr:sp macro="" textlink="">
      <cdr:nvSpPr>
        <cdr:cNvPr id="22530" name="Text Box 2"/>
        <cdr:cNvSpPr txBox="1">
          <a:spLocks xmlns:a="http://schemas.openxmlformats.org/drawingml/2006/main" noChangeArrowheads="1"/>
        </cdr:cNvSpPr>
      </cdr:nvSpPr>
      <cdr:spPr bwMode="auto">
        <a:xfrm xmlns:a="http://schemas.openxmlformats.org/drawingml/2006/main">
          <a:off x="1546315" y="1221680"/>
          <a:ext cx="476160" cy="171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Gesamt</a:t>
          </a:r>
        </a:p>
      </cdr:txBody>
    </cdr:sp>
  </cdr:relSizeAnchor>
</c:userShapes>
</file>

<file path=xl/drawings/drawing4.xml><?xml version="1.0" encoding="utf-8"?>
<xdr:wsDr xmlns:xdr="http://schemas.openxmlformats.org/drawingml/2006/spreadsheetDrawing" xmlns:a="http://schemas.openxmlformats.org/drawingml/2006/main">
  <xdr:twoCellAnchor>
    <xdr:from>
      <xdr:col>4</xdr:col>
      <xdr:colOff>742950</xdr:colOff>
      <xdr:row>0</xdr:row>
      <xdr:rowOff>0</xdr:rowOff>
    </xdr:from>
    <xdr:to>
      <xdr:col>7</xdr:col>
      <xdr:colOff>628650</xdr:colOff>
      <xdr:row>14</xdr:row>
      <xdr:rowOff>66675</xdr:rowOff>
    </xdr:to>
    <xdr:graphicFrame macro="">
      <xdr:nvGraphicFramePr>
        <xdr:cNvPr id="21505"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0.77638</cdr:x>
      <cdr:y>0.27167</cdr:y>
    </cdr:from>
    <cdr:to>
      <cdr:x>0.97817</cdr:x>
      <cdr:y>0.3465</cdr:y>
    </cdr:to>
    <cdr:sp macro="" textlink="">
      <cdr:nvSpPr>
        <cdr:cNvPr id="24577" name="Text Box 1"/>
        <cdr:cNvSpPr txBox="1">
          <a:spLocks xmlns:a="http://schemas.openxmlformats.org/drawingml/2006/main" noChangeArrowheads="1"/>
        </cdr:cNvSpPr>
      </cdr:nvSpPr>
      <cdr:spPr bwMode="auto">
        <a:xfrm xmlns:a="http://schemas.openxmlformats.org/drawingml/2006/main">
          <a:off x="1696634" y="639750"/>
          <a:ext cx="440141" cy="1753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Gesamt</a:t>
          </a:r>
        </a:p>
      </cdr:txBody>
    </cdr:sp>
  </cdr:relSizeAnchor>
  <cdr:relSizeAnchor xmlns:cdr="http://schemas.openxmlformats.org/drawingml/2006/chartDrawing">
    <cdr:from>
      <cdr:x>0.29295</cdr:x>
      <cdr:y>0.61224</cdr:y>
    </cdr:from>
    <cdr:to>
      <cdr:x>0.51865</cdr:x>
      <cdr:y>0.69019</cdr:y>
    </cdr:to>
    <cdr:sp macro="" textlink="">
      <cdr:nvSpPr>
        <cdr:cNvPr id="24578" name="Text Box 2"/>
        <cdr:cNvSpPr txBox="1">
          <a:spLocks xmlns:a="http://schemas.openxmlformats.org/drawingml/2006/main" noChangeArrowheads="1"/>
        </cdr:cNvSpPr>
      </cdr:nvSpPr>
      <cdr:spPr bwMode="auto">
        <a:xfrm xmlns:a="http://schemas.openxmlformats.org/drawingml/2006/main">
          <a:off x="642174" y="1437754"/>
          <a:ext cx="492290" cy="1826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Long-Call</a:t>
          </a:r>
        </a:p>
      </cdr:txBody>
    </cdr:sp>
  </cdr:relSizeAnchor>
  <cdr:relSizeAnchor xmlns:cdr="http://schemas.openxmlformats.org/drawingml/2006/chartDrawing">
    <cdr:from>
      <cdr:x>0.29295</cdr:x>
      <cdr:y>0.3892</cdr:y>
    </cdr:from>
    <cdr:to>
      <cdr:x>0.55427</cdr:x>
      <cdr:y>0.4633</cdr:y>
    </cdr:to>
    <cdr:sp macro="" textlink="">
      <cdr:nvSpPr>
        <cdr:cNvPr id="24579" name="Text Box 3"/>
        <cdr:cNvSpPr txBox="1">
          <a:spLocks xmlns:a="http://schemas.openxmlformats.org/drawingml/2006/main" noChangeArrowheads="1"/>
        </cdr:cNvSpPr>
      </cdr:nvSpPr>
      <cdr:spPr bwMode="auto">
        <a:xfrm xmlns:a="http://schemas.openxmlformats.org/drawingml/2006/main">
          <a:off x="642174" y="915118"/>
          <a:ext cx="569993" cy="1736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Short-Call</a:t>
          </a:r>
        </a:p>
      </cdr:txBody>
    </cdr:sp>
  </cdr:relSizeAnchor>
</c:userShapes>
</file>

<file path=xl/drawings/drawing6.xml><?xml version="1.0" encoding="utf-8"?>
<xdr:wsDr xmlns:xdr="http://schemas.openxmlformats.org/drawingml/2006/spreadsheetDrawing" xmlns:a="http://schemas.openxmlformats.org/drawingml/2006/main">
  <xdr:twoCellAnchor>
    <xdr:from>
      <xdr:col>4</xdr:col>
      <xdr:colOff>419100</xdr:colOff>
      <xdr:row>1</xdr:row>
      <xdr:rowOff>19050</xdr:rowOff>
    </xdr:from>
    <xdr:to>
      <xdr:col>10</xdr:col>
      <xdr:colOff>38100</xdr:colOff>
      <xdr:row>19</xdr:row>
      <xdr:rowOff>19050</xdr:rowOff>
    </xdr:to>
    <xdr:graphicFrame macro="">
      <xdr:nvGraphicFramePr>
        <xdr:cNvPr id="25601"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895350</xdr:colOff>
      <xdr:row>10</xdr:row>
      <xdr:rowOff>9525</xdr:rowOff>
    </xdr:from>
    <xdr:to>
      <xdr:col>2</xdr:col>
      <xdr:colOff>571500</xdr:colOff>
      <xdr:row>22</xdr:row>
      <xdr:rowOff>104775</xdr:rowOff>
    </xdr:to>
    <xdr:graphicFrame macro="">
      <xdr:nvGraphicFramePr>
        <xdr:cNvPr id="17409"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219075</xdr:colOff>
      <xdr:row>8</xdr:row>
      <xdr:rowOff>9525</xdr:rowOff>
    </xdr:from>
    <xdr:to>
      <xdr:col>6</xdr:col>
      <xdr:colOff>295275</xdr:colOff>
      <xdr:row>20</xdr:row>
      <xdr:rowOff>104775</xdr:rowOff>
    </xdr:to>
    <xdr:graphicFrame macro="">
      <xdr:nvGraphicFramePr>
        <xdr:cNvPr id="17410"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476250</xdr:colOff>
      <xdr:row>8</xdr:row>
      <xdr:rowOff>47625</xdr:rowOff>
    </xdr:from>
    <xdr:to>
      <xdr:col>9</xdr:col>
      <xdr:colOff>533400</xdr:colOff>
      <xdr:row>20</xdr:row>
      <xdr:rowOff>104775</xdr:rowOff>
    </xdr:to>
    <xdr:graphicFrame macro="">
      <xdr:nvGraphicFramePr>
        <xdr:cNvPr id="17411"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457200</xdr:colOff>
      <xdr:row>28</xdr:row>
      <xdr:rowOff>85725</xdr:rowOff>
    </xdr:from>
    <xdr:to>
      <xdr:col>2</xdr:col>
      <xdr:colOff>142875</xdr:colOff>
      <xdr:row>41</xdr:row>
      <xdr:rowOff>28575</xdr:rowOff>
    </xdr:to>
    <xdr:graphicFrame macro="">
      <xdr:nvGraphicFramePr>
        <xdr:cNvPr id="17413"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1209675</xdr:colOff>
      <xdr:row>30</xdr:row>
      <xdr:rowOff>76200</xdr:rowOff>
    </xdr:from>
    <xdr:to>
      <xdr:col>3</xdr:col>
      <xdr:colOff>428625</xdr:colOff>
      <xdr:row>44</xdr:row>
      <xdr:rowOff>123825</xdr:rowOff>
    </xdr:to>
    <xdr:graphicFrame macro="">
      <xdr:nvGraphicFramePr>
        <xdr:cNvPr id="44033"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66675</xdr:colOff>
      <xdr:row>30</xdr:row>
      <xdr:rowOff>66675</xdr:rowOff>
    </xdr:from>
    <xdr:to>
      <xdr:col>6</xdr:col>
      <xdr:colOff>676275</xdr:colOff>
      <xdr:row>44</xdr:row>
      <xdr:rowOff>123825</xdr:rowOff>
    </xdr:to>
    <xdr:graphicFrame macro="">
      <xdr:nvGraphicFramePr>
        <xdr:cNvPr id="44034"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xdr:col>
      <xdr:colOff>76200</xdr:colOff>
      <xdr:row>9</xdr:row>
      <xdr:rowOff>104775</xdr:rowOff>
    </xdr:from>
    <xdr:to>
      <xdr:col>6</xdr:col>
      <xdr:colOff>666750</xdr:colOff>
      <xdr:row>23</xdr:row>
      <xdr:rowOff>76200</xdr:rowOff>
    </xdr:to>
    <xdr:graphicFrame macro="">
      <xdr:nvGraphicFramePr>
        <xdr:cNvPr id="4097"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umente%20und%20Einstellungen/pfeifer/Eigene%20Dateien/praxissemester2003/stochastischefinanzmarktmodel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kumente%20und%20Einstellungen/pfeifer/Eigene%20Dateien/sofi_06022004/Bewertung_von_Zinsprodukt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FM3A_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Wiener-Prozess"/>
      <sheetName val="Normalverteilung"/>
      <sheetName val="Optionspreis_bei-2_Aktienkursen"/>
      <sheetName val="Binomialmodell Darst. A"/>
      <sheetName val="Binomialmodell B"/>
      <sheetName val="EingabeArbitrage"/>
      <sheetName val="LGS1"/>
      <sheetName val="LGS2"/>
      <sheetName val="LGS3"/>
      <sheetName val="LGS4"/>
      <sheetName val="LGS5"/>
      <sheetName val="LGS6"/>
      <sheetName val="LGS7"/>
      <sheetName val="LGS8"/>
      <sheetName val="LGS9"/>
    </sheetNames>
    <sheetDataSet>
      <sheetData sheetId="0"/>
      <sheetData sheetId="1"/>
      <sheetData sheetId="2"/>
      <sheetData sheetId="3"/>
      <sheetData sheetId="4">
        <row r="10">
          <cell r="C10">
            <v>100</v>
          </cell>
        </row>
        <row r="11">
          <cell r="C11">
            <v>90</v>
          </cell>
        </row>
        <row r="12">
          <cell r="C12">
            <v>3</v>
          </cell>
        </row>
        <row r="13">
          <cell r="C13">
            <v>0.4</v>
          </cell>
        </row>
        <row r="28">
          <cell r="F28">
            <v>1.7999999999999999E-2</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Annuitäten"/>
      <sheetName val="Bond(G)"/>
      <sheetName val="Bond"/>
      <sheetName val="Cap(G)"/>
      <sheetName val="Cap"/>
      <sheetName val="Swap-&gt;Spotrates"/>
      <sheetName val="Collar"/>
      <sheetName val="Floor"/>
      <sheetName val="FRA(G)"/>
      <sheetName val="FRA"/>
      <sheetName val="FRN"/>
      <sheetName val="Bund-Future"/>
      <sheetName val="Bund-Future (2)"/>
      <sheetName val="Devisen-Future"/>
      <sheetName val="Aktienoption"/>
      <sheetName val="Repo"/>
      <sheetName val="StructuredNote"/>
      <sheetName val="StructuredNote Floater"/>
      <sheetName val="Swap(G)"/>
      <sheetName val="Swap(G) (2)"/>
      <sheetName val="Swap mit Eingabe Zinsen"/>
      <sheetName val="Swap"/>
      <sheetName val="Swap-Bewertung (Querschnitt)"/>
      <sheetName val="Zinsdaten von Banken"/>
      <sheetName val="EURIBOR und EZB-Zinsssatz"/>
      <sheetName val="Eingabezinsdaten"/>
      <sheetName val="Volas und Korrelationen März 03"/>
      <sheetName val="Volas und Korrelationen"/>
      <sheetName val="Cashflow"/>
      <sheetName val="VaR(Varianz-Kovar-Methode)"/>
      <sheetName val="VaR(3Metho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2">
          <cell r="B22">
            <v>1</v>
          </cell>
          <cell r="C22">
            <v>0.86791700000000005</v>
          </cell>
          <cell r="D22">
            <v>0.53873899999999997</v>
          </cell>
          <cell r="E22">
            <v>0.187253</v>
          </cell>
          <cell r="F22">
            <v>-0.120099</v>
          </cell>
          <cell r="G22">
            <v>-0.16220399999999999</v>
          </cell>
          <cell r="H22">
            <v>-0.16766700000000001</v>
          </cell>
          <cell r="I22">
            <v>-0.16359799999999999</v>
          </cell>
          <cell r="J22">
            <v>-0.17738899999999999</v>
          </cell>
          <cell r="K22">
            <v>-0.18290000000000001</v>
          </cell>
          <cell r="L22">
            <v>-0.18829360000000001</v>
          </cell>
          <cell r="M22">
            <v>-0.1913</v>
          </cell>
          <cell r="N22">
            <v>-0.19320000000000001</v>
          </cell>
          <cell r="O22">
            <v>-0.19550000000000001</v>
          </cell>
        </row>
        <row r="23">
          <cell r="B23">
            <v>0.86791700000000005</v>
          </cell>
          <cell r="C23">
            <v>1</v>
          </cell>
          <cell r="D23">
            <v>0.78592200000000001</v>
          </cell>
          <cell r="E23">
            <v>0.48869000000000001</v>
          </cell>
          <cell r="F23">
            <v>7.4015999999999998E-2</v>
          </cell>
          <cell r="G23">
            <v>3.6948000000000002E-2</v>
          </cell>
          <cell r="H23">
            <v>2.4291E-2</v>
          </cell>
          <cell r="I23">
            <v>2.1298999999999998E-2</v>
          </cell>
          <cell r="J23">
            <v>3.3320000000000002E-4</v>
          </cell>
          <cell r="K23">
            <v>-9.1000000000000004E-3</v>
          </cell>
          <cell r="L23">
            <v>-2.0157000000000001E-2</v>
          </cell>
          <cell r="M23">
            <v>-8.5300000000000001E-2</v>
          </cell>
          <cell r="N23">
            <v>-0.1056</v>
          </cell>
          <cell r="O23">
            <v>-0.1865</v>
          </cell>
        </row>
        <row r="24">
          <cell r="B24">
            <v>0.53873899999999997</v>
          </cell>
          <cell r="C24">
            <v>0.78592200000000001</v>
          </cell>
          <cell r="D24">
            <v>1</v>
          </cell>
          <cell r="E24">
            <v>0.89022699999999999</v>
          </cell>
          <cell r="F24">
            <v>0.12673300000000001</v>
          </cell>
          <cell r="G24">
            <v>9.1599E-2</v>
          </cell>
          <cell r="H24">
            <v>9.9445000000000006E-2</v>
          </cell>
          <cell r="I24">
            <v>8.8608999999999993E-2</v>
          </cell>
          <cell r="J24">
            <v>6.9914000000000004E-2</v>
          </cell>
          <cell r="K24">
            <v>6.5735000000000002E-2</v>
          </cell>
          <cell r="L24">
            <v>6.1556E-2</v>
          </cell>
          <cell r="M24">
            <v>4.8912999999999998E-2</v>
          </cell>
          <cell r="N24">
            <v>4.6335000000000001E-2</v>
          </cell>
          <cell r="O24">
            <v>3.5421000000000001E-2</v>
          </cell>
        </row>
        <row r="25">
          <cell r="B25">
            <v>0.187253</v>
          </cell>
          <cell r="C25">
            <v>0.48869000000000001</v>
          </cell>
          <cell r="D25">
            <v>0.89022699999999999</v>
          </cell>
          <cell r="E25">
            <v>1</v>
          </cell>
          <cell r="F25">
            <v>0.22001299999999999</v>
          </cell>
          <cell r="G25">
            <v>0.21272199999999999</v>
          </cell>
          <cell r="H25">
            <v>0.22580500000000001</v>
          </cell>
          <cell r="I25">
            <v>0.21197099999999999</v>
          </cell>
          <cell r="J25">
            <v>0.20037199999999999</v>
          </cell>
          <cell r="K25">
            <v>0.19954650000000002</v>
          </cell>
          <cell r="L25">
            <v>0.19872100000000001</v>
          </cell>
          <cell r="M25">
            <v>0.19436500000000001</v>
          </cell>
          <cell r="N25">
            <v>0.189891</v>
          </cell>
          <cell r="O25">
            <v>0.18682399999999999</v>
          </cell>
        </row>
        <row r="26">
          <cell r="B26">
            <v>-0.120099</v>
          </cell>
          <cell r="C26">
            <v>7.4015999999999998E-2</v>
          </cell>
          <cell r="D26">
            <v>0.12673300000000001</v>
          </cell>
          <cell r="E26">
            <v>0.22001299999999999</v>
          </cell>
          <cell r="F26">
            <v>1</v>
          </cell>
          <cell r="G26">
            <v>0.98731400000000002</v>
          </cell>
          <cell r="H26">
            <v>0.97672800000000004</v>
          </cell>
          <cell r="I26">
            <v>0.97374899999999998</v>
          </cell>
          <cell r="J26">
            <v>0.96289999999999998</v>
          </cell>
          <cell r="K26">
            <v>0.95179799999999992</v>
          </cell>
          <cell r="L26">
            <v>0.94069599999999998</v>
          </cell>
          <cell r="M26">
            <v>0.936894</v>
          </cell>
          <cell r="N26">
            <v>0.93001400000000001</v>
          </cell>
          <cell r="O26">
            <v>0.92236099999999999</v>
          </cell>
        </row>
        <row r="27">
          <cell r="B27">
            <v>-0.16220399999999999</v>
          </cell>
          <cell r="C27">
            <v>3.6948000000000002E-2</v>
          </cell>
          <cell r="D27">
            <v>9.1599E-2</v>
          </cell>
          <cell r="E27">
            <v>0.21272199999999999</v>
          </cell>
          <cell r="F27">
            <v>0.98731400000000002</v>
          </cell>
          <cell r="G27">
            <v>1</v>
          </cell>
          <cell r="H27">
            <v>0.99127500000000002</v>
          </cell>
          <cell r="I27">
            <v>0.98811300000000002</v>
          </cell>
          <cell r="J27">
            <v>0.97798499999999999</v>
          </cell>
          <cell r="K27">
            <v>0.96786349999999999</v>
          </cell>
          <cell r="L27">
            <v>0.95774199999999998</v>
          </cell>
          <cell r="M27">
            <v>0.94689000000000001</v>
          </cell>
          <cell r="N27">
            <v>0.94011999999999996</v>
          </cell>
          <cell r="O27">
            <v>0.93355999999999995</v>
          </cell>
        </row>
        <row r="28">
          <cell r="B28">
            <v>-0.16766700000000001</v>
          </cell>
          <cell r="C28">
            <v>2.4291E-2</v>
          </cell>
          <cell r="D28">
            <v>9.9445000000000006E-2</v>
          </cell>
          <cell r="E28">
            <v>0.22580500000000001</v>
          </cell>
          <cell r="F28">
            <v>0.97672800000000004</v>
          </cell>
          <cell r="G28">
            <v>0.99127500000000002</v>
          </cell>
          <cell r="H28">
            <v>1</v>
          </cell>
          <cell r="I28">
            <v>0.99720900000000001</v>
          </cell>
          <cell r="J28">
            <v>0.98814400000000002</v>
          </cell>
          <cell r="K28">
            <v>0.97854949999999996</v>
          </cell>
          <cell r="L28">
            <v>0.96895500000000001</v>
          </cell>
          <cell r="M28">
            <v>0.95648</v>
          </cell>
          <cell r="N28">
            <v>0.95145999999999997</v>
          </cell>
          <cell r="O28">
            <v>0.94477999999999995</v>
          </cell>
        </row>
        <row r="29">
          <cell r="B29">
            <v>-0.16359799999999999</v>
          </cell>
          <cell r="C29">
            <v>2.1298999999999998E-2</v>
          </cell>
          <cell r="D29">
            <v>8.8608999999999993E-2</v>
          </cell>
          <cell r="E29">
            <v>0.21197099999999999</v>
          </cell>
          <cell r="F29">
            <v>0.97374899999999998</v>
          </cell>
          <cell r="G29">
            <v>0.98811300000000002</v>
          </cell>
          <cell r="H29">
            <v>0.99720900000000001</v>
          </cell>
          <cell r="I29">
            <v>1</v>
          </cell>
          <cell r="J29">
            <v>0.99262300000000003</v>
          </cell>
          <cell r="K29">
            <v>0.98429900000000004</v>
          </cell>
          <cell r="L29">
            <v>0.97597500000000004</v>
          </cell>
          <cell r="M29">
            <v>0.96897</v>
          </cell>
          <cell r="N29">
            <v>0.96431999999999995</v>
          </cell>
          <cell r="O29">
            <v>0.95831999999999995</v>
          </cell>
        </row>
        <row r="30">
          <cell r="B30">
            <v>-0.17738899999999999</v>
          </cell>
          <cell r="C30">
            <v>3.3320000000000002E-4</v>
          </cell>
          <cell r="D30">
            <v>6.9914000000000004E-2</v>
          </cell>
          <cell r="E30">
            <v>0.20037199999999999</v>
          </cell>
          <cell r="F30">
            <v>0.96289999999999998</v>
          </cell>
          <cell r="G30">
            <v>0.97798499999999999</v>
          </cell>
          <cell r="H30">
            <v>0.98814400000000002</v>
          </cell>
          <cell r="I30">
            <v>0.99262300000000003</v>
          </cell>
          <cell r="J30">
            <v>1</v>
          </cell>
          <cell r="K30">
            <v>0.99595049999999996</v>
          </cell>
          <cell r="L30">
            <v>0.99190100000000003</v>
          </cell>
          <cell r="M30">
            <v>0.99560000000000004</v>
          </cell>
          <cell r="N30">
            <v>0.99339999999999995</v>
          </cell>
          <cell r="O30">
            <v>0.98124999999999996</v>
          </cell>
        </row>
        <row r="31">
          <cell r="B31">
            <v>-0.18290000000000001</v>
          </cell>
          <cell r="C31">
            <v>-9.1000000000000004E-3</v>
          </cell>
          <cell r="D31">
            <v>6.5735000000000002E-2</v>
          </cell>
          <cell r="E31">
            <v>0.19954650000000002</v>
          </cell>
          <cell r="F31">
            <v>0.95179799999999992</v>
          </cell>
          <cell r="G31">
            <v>0.96786349999999999</v>
          </cell>
          <cell r="H31">
            <v>0.97854949999999996</v>
          </cell>
          <cell r="I31">
            <v>0.98429900000000004</v>
          </cell>
          <cell r="J31">
            <v>0.99595049999999996</v>
          </cell>
          <cell r="K31">
            <v>1</v>
          </cell>
          <cell r="L31">
            <v>0.99487000000000003</v>
          </cell>
          <cell r="M31">
            <v>0.99680000000000002</v>
          </cell>
          <cell r="N31">
            <v>0.97</v>
          </cell>
          <cell r="O31">
            <v>0.96</v>
          </cell>
        </row>
        <row r="32">
          <cell r="B32">
            <v>-0.18829360000000001</v>
          </cell>
          <cell r="C32">
            <v>-2.0157000000000001E-2</v>
          </cell>
          <cell r="D32">
            <v>6.1556E-2</v>
          </cell>
          <cell r="E32">
            <v>0.19872100000000001</v>
          </cell>
          <cell r="F32">
            <v>0.94069599999999998</v>
          </cell>
          <cell r="G32">
            <v>0.95774199999999998</v>
          </cell>
          <cell r="H32">
            <v>0.96895500000000001</v>
          </cell>
          <cell r="I32">
            <v>0.97597500000000004</v>
          </cell>
          <cell r="J32">
            <v>0.99190100000000003</v>
          </cell>
          <cell r="K32">
            <v>0.99487000000000003</v>
          </cell>
          <cell r="L32">
            <v>1</v>
          </cell>
          <cell r="M32">
            <v>0.99299999999999999</v>
          </cell>
          <cell r="N32">
            <v>0.98</v>
          </cell>
          <cell r="O32">
            <v>0.95</v>
          </cell>
        </row>
        <row r="33">
          <cell r="B33">
            <v>-0.1913</v>
          </cell>
          <cell r="C33">
            <v>-8.5300000000000001E-2</v>
          </cell>
          <cell r="D33">
            <v>4.8912999999999998E-2</v>
          </cell>
          <cell r="E33">
            <v>0.19436500000000001</v>
          </cell>
          <cell r="F33">
            <v>0.936894</v>
          </cell>
          <cell r="G33">
            <v>0.94689000000000001</v>
          </cell>
          <cell r="H33">
            <v>0.95648</v>
          </cell>
          <cell r="I33">
            <v>0.96897</v>
          </cell>
          <cell r="J33">
            <v>0.99560000000000004</v>
          </cell>
          <cell r="K33">
            <v>0.99680000000000002</v>
          </cell>
          <cell r="L33">
            <v>0.99299999999999999</v>
          </cell>
          <cell r="M33">
            <v>1</v>
          </cell>
          <cell r="N33">
            <v>0.99</v>
          </cell>
          <cell r="O33">
            <v>0.98</v>
          </cell>
        </row>
        <row r="34">
          <cell r="B34">
            <v>-0.19320000000000001</v>
          </cell>
          <cell r="C34">
            <v>-0.1056</v>
          </cell>
          <cell r="D34">
            <v>4.6335000000000001E-2</v>
          </cell>
          <cell r="E34">
            <v>0.189891</v>
          </cell>
          <cell r="F34">
            <v>0.93001400000000001</v>
          </cell>
          <cell r="G34">
            <v>0.94011999999999996</v>
          </cell>
          <cell r="H34">
            <v>0.95145999999999997</v>
          </cell>
          <cell r="I34">
            <v>0.96431999999999995</v>
          </cell>
          <cell r="J34">
            <v>0.99339999999999995</v>
          </cell>
          <cell r="K34">
            <v>0.97</v>
          </cell>
          <cell r="L34">
            <v>0.98</v>
          </cell>
          <cell r="M34">
            <v>0.99</v>
          </cell>
          <cell r="N34">
            <v>1</v>
          </cell>
          <cell r="O34">
            <v>0.99</v>
          </cell>
        </row>
        <row r="35">
          <cell r="B35">
            <v>-0.19550000000000001</v>
          </cell>
          <cell r="C35">
            <v>-0.1865</v>
          </cell>
          <cell r="D35">
            <v>3.5421000000000001E-2</v>
          </cell>
          <cell r="E35">
            <v>0.18682399999999999</v>
          </cell>
          <cell r="F35">
            <v>0.92236099999999999</v>
          </cell>
          <cell r="G35">
            <v>0.93355999999999995</v>
          </cell>
          <cell r="H35">
            <v>0.94477999999999995</v>
          </cell>
          <cell r="I35">
            <v>0.95831999999999995</v>
          </cell>
          <cell r="J35">
            <v>0.98124999999999996</v>
          </cell>
          <cell r="K35">
            <v>0.96</v>
          </cell>
          <cell r="L35">
            <v>0.95</v>
          </cell>
          <cell r="M35">
            <v>0.98</v>
          </cell>
          <cell r="N35">
            <v>0.99</v>
          </cell>
          <cell r="O35">
            <v>1</v>
          </cell>
        </row>
      </sheetData>
      <sheetData sheetId="28"/>
      <sheetData sheetId="29">
        <row r="3">
          <cell r="K3">
            <v>37944</v>
          </cell>
          <cell r="L3">
            <v>37974</v>
          </cell>
          <cell r="M3">
            <v>38036</v>
          </cell>
          <cell r="N3">
            <v>38126</v>
          </cell>
          <cell r="O3">
            <v>38310</v>
          </cell>
          <cell r="P3">
            <v>38677</v>
          </cell>
          <cell r="Q3">
            <v>39041</v>
          </cell>
          <cell r="R3">
            <v>39405</v>
          </cell>
          <cell r="S3">
            <v>39771</v>
          </cell>
          <cell r="T3">
            <v>40501</v>
          </cell>
          <cell r="U3">
            <v>41232</v>
          </cell>
          <cell r="V3">
            <v>41597</v>
          </cell>
          <cell r="W3">
            <v>43423</v>
          </cell>
          <cell r="X3">
            <v>45250</v>
          </cell>
          <cell r="Y3">
            <v>48904</v>
          </cell>
        </row>
        <row r="4">
          <cell r="K4">
            <v>37974</v>
          </cell>
          <cell r="L4">
            <v>38036</v>
          </cell>
          <cell r="M4">
            <v>38126</v>
          </cell>
          <cell r="N4">
            <v>38310</v>
          </cell>
          <cell r="O4">
            <v>38677</v>
          </cell>
          <cell r="P4">
            <v>39041</v>
          </cell>
          <cell r="Q4">
            <v>39405</v>
          </cell>
          <cell r="R4">
            <v>39771</v>
          </cell>
          <cell r="S4">
            <v>40501</v>
          </cell>
          <cell r="T4">
            <v>41232</v>
          </cell>
          <cell r="U4">
            <v>41597</v>
          </cell>
          <cell r="V4">
            <v>43423</v>
          </cell>
          <cell r="W4">
            <v>45250</v>
          </cell>
          <cell r="X4">
            <v>48904</v>
          </cell>
          <cell r="Y4">
            <v>69399</v>
          </cell>
        </row>
        <row r="5">
          <cell r="K5">
            <v>30</v>
          </cell>
          <cell r="L5">
            <v>62</v>
          </cell>
          <cell r="M5">
            <v>90</v>
          </cell>
          <cell r="N5">
            <v>184</v>
          </cell>
          <cell r="O5">
            <v>367</v>
          </cell>
          <cell r="P5">
            <v>364</v>
          </cell>
          <cell r="Q5">
            <v>364</v>
          </cell>
          <cell r="R5">
            <v>366</v>
          </cell>
          <cell r="S5">
            <v>730</v>
          </cell>
          <cell r="T5">
            <v>731</v>
          </cell>
          <cell r="U5">
            <v>365</v>
          </cell>
          <cell r="V5">
            <v>1826</v>
          </cell>
          <cell r="W5">
            <v>1827</v>
          </cell>
          <cell r="X5">
            <v>3654</v>
          </cell>
          <cell r="Y5">
            <v>20495</v>
          </cell>
        </row>
        <row r="6">
          <cell r="K6">
            <v>1</v>
          </cell>
          <cell r="L6">
            <v>3</v>
          </cell>
          <cell r="M6">
            <v>6</v>
          </cell>
          <cell r="N6">
            <v>12</v>
          </cell>
          <cell r="O6">
            <v>24</v>
          </cell>
          <cell r="P6">
            <v>36</v>
          </cell>
          <cell r="Q6">
            <v>48</v>
          </cell>
          <cell r="R6">
            <v>60</v>
          </cell>
          <cell r="S6">
            <v>84</v>
          </cell>
          <cell r="T6">
            <v>108</v>
          </cell>
          <cell r="U6">
            <v>120</v>
          </cell>
          <cell r="V6">
            <v>180</v>
          </cell>
          <cell r="W6">
            <v>240</v>
          </cell>
          <cell r="X6">
            <v>360</v>
          </cell>
        </row>
        <row r="7">
          <cell r="K7">
            <v>0</v>
          </cell>
          <cell r="L7">
            <v>8.3333333333333329E-2</v>
          </cell>
          <cell r="M7">
            <v>0.25555555555555554</v>
          </cell>
          <cell r="N7">
            <v>0.50555555555555554</v>
          </cell>
          <cell r="O7">
            <v>1.0166666666666666</v>
          </cell>
          <cell r="P7">
            <v>2.0055555555555555</v>
          </cell>
          <cell r="Q7">
            <v>3.0027777777777778</v>
          </cell>
          <cell r="R7">
            <v>4</v>
          </cell>
          <cell r="S7">
            <v>5</v>
          </cell>
          <cell r="T7">
            <v>7</v>
          </cell>
          <cell r="U7">
            <v>9</v>
          </cell>
          <cell r="V7">
            <v>10</v>
          </cell>
          <cell r="W7">
            <v>15</v>
          </cell>
          <cell r="X7">
            <v>20.002777777777776</v>
          </cell>
          <cell r="Y7">
            <v>30.005555555555556</v>
          </cell>
        </row>
        <row r="8">
          <cell r="K8">
            <v>2.0659999999999457E-2</v>
          </cell>
          <cell r="L8">
            <v>2.0659999999999457E-2</v>
          </cell>
          <cell r="M8">
            <v>2.1540000000000184E-2</v>
          </cell>
          <cell r="N8">
            <v>2.1980000000000201E-2</v>
          </cell>
          <cell r="O8">
            <v>2.3449999999999978E-2</v>
          </cell>
          <cell r="P8">
            <v>2.8260463250093348E-2</v>
          </cell>
          <cell r="Q8">
            <v>3.2067000447168148E-2</v>
          </cell>
          <cell r="R8">
            <v>3.5201128635307555E-2</v>
          </cell>
          <cell r="S8">
            <v>3.7638400089557544E-2</v>
          </cell>
          <cell r="T8">
            <v>4.1550572396494623E-2</v>
          </cell>
          <cell r="U8">
            <v>4.4355990303954984E-2</v>
          </cell>
          <cell r="V8">
            <v>4.5383407803695874E-2</v>
          </cell>
          <cell r="W8">
            <v>4.9459952323506862E-2</v>
          </cell>
          <cell r="X8">
            <v>0</v>
          </cell>
          <cell r="Y8">
            <v>0</v>
          </cell>
        </row>
        <row r="9">
          <cell r="K9">
            <v>1</v>
          </cell>
          <cell r="L9">
            <v>0.9982812923749611</v>
          </cell>
          <cell r="M9">
            <v>0.99452546880273052</v>
          </cell>
          <cell r="N9">
            <v>0.98901001086921991</v>
          </cell>
          <cell r="O9">
            <v>0.97671431675984799</v>
          </cell>
          <cell r="P9">
            <v>0.94564141779671684</v>
          </cell>
          <cell r="Q9">
            <v>0.90957443724748654</v>
          </cell>
          <cell r="R9">
            <v>0.87076517699785516</v>
          </cell>
          <cell r="S9">
            <v>0.83132305138034746</v>
          </cell>
          <cell r="T9">
            <v>0.75203398392125387</v>
          </cell>
          <cell r="U9">
            <v>0.67664821533140218</v>
          </cell>
          <cell r="V9">
            <v>0.6415698884733122</v>
          </cell>
          <cell r="W9">
            <v>0.48474344323307861</v>
          </cell>
          <cell r="X9">
            <v>1</v>
          </cell>
          <cell r="Y9">
            <v>1</v>
          </cell>
        </row>
        <row r="10">
          <cell r="K10">
            <v>2.0659999999999457E-2</v>
          </cell>
          <cell r="L10">
            <v>2.1540000000000184E-2</v>
          </cell>
          <cell r="M10">
            <v>2.1980000000000201E-2</v>
          </cell>
          <cell r="N10">
            <v>2.3449999999999978E-2</v>
          </cell>
          <cell r="O10">
            <v>2.8260463250093348E-2</v>
          </cell>
          <cell r="P10">
            <v>3.2067000447168148E-2</v>
          </cell>
          <cell r="Q10">
            <v>3.5201128635307555E-2</v>
          </cell>
          <cell r="R10">
            <v>3.7638400089557544E-2</v>
          </cell>
          <cell r="S10">
            <v>4.1550572396494623E-2</v>
          </cell>
          <cell r="T10">
            <v>4.4355990303954984E-2</v>
          </cell>
          <cell r="U10">
            <v>4.5383407803695874E-2</v>
          </cell>
          <cell r="V10">
            <v>4.9459952323506862E-2</v>
          </cell>
          <cell r="W10">
            <v>0</v>
          </cell>
          <cell r="X10">
            <v>0</v>
          </cell>
          <cell r="Y10">
            <v>0</v>
          </cell>
        </row>
        <row r="11">
          <cell r="K11">
            <v>8.3333333333333329E-2</v>
          </cell>
          <cell r="L11">
            <v>0.25555555555555554</v>
          </cell>
          <cell r="M11">
            <v>0.50555555555555554</v>
          </cell>
          <cell r="N11">
            <v>1.0166666666666666</v>
          </cell>
          <cell r="O11">
            <v>2.0055555555555555</v>
          </cell>
          <cell r="P11">
            <v>3.0027777777777778</v>
          </cell>
          <cell r="Q11">
            <v>4</v>
          </cell>
          <cell r="R11">
            <v>5</v>
          </cell>
          <cell r="S11">
            <v>7</v>
          </cell>
          <cell r="T11">
            <v>9</v>
          </cell>
          <cell r="U11">
            <v>10</v>
          </cell>
          <cell r="V11">
            <v>15</v>
          </cell>
          <cell r="W11">
            <v>20.002777777777776</v>
          </cell>
          <cell r="X11">
            <v>30.005555555555556</v>
          </cell>
          <cell r="Y11">
            <v>90</v>
          </cell>
        </row>
        <row r="12">
          <cell r="K12">
            <v>0</v>
          </cell>
          <cell r="L12">
            <v>0</v>
          </cell>
          <cell r="M12">
            <v>0</v>
          </cell>
          <cell r="N12">
            <v>1000000</v>
          </cell>
          <cell r="O12">
            <v>-35650.072561734451</v>
          </cell>
          <cell r="P12">
            <v>-34707.666814855605</v>
          </cell>
          <cell r="Q12">
            <v>-33107.246217979002</v>
          </cell>
          <cell r="R12">
            <v>-31694.643046642763</v>
          </cell>
          <cell r="S12">
            <v>-861666.34275573015</v>
          </cell>
          <cell r="T12">
            <v>0</v>
          </cell>
          <cell r="U12">
            <v>0</v>
          </cell>
          <cell r="V12">
            <v>0</v>
          </cell>
          <cell r="W12">
            <v>0</v>
          </cell>
          <cell r="X12">
            <v>0</v>
          </cell>
          <cell r="Y12">
            <v>0</v>
          </cell>
        </row>
        <row r="13">
          <cell r="K13">
            <v>0</v>
          </cell>
          <cell r="L13">
            <v>0</v>
          </cell>
          <cell r="M13">
            <v>0</v>
          </cell>
          <cell r="N13">
            <v>73.34066595027123</v>
          </cell>
          <cell r="O13">
            <v>21.10525673094088</v>
          </cell>
          <cell r="P13">
            <v>44.883677367239393</v>
          </cell>
          <cell r="Q13">
            <v>95.026166503778654</v>
          </cell>
          <cell r="R13">
            <v>82.961275504176172</v>
          </cell>
          <cell r="S13">
            <v>2861.6331699173807</v>
          </cell>
          <cell r="T13">
            <v>0</v>
          </cell>
          <cell r="U13">
            <v>0</v>
          </cell>
          <cell r="V13">
            <v>0</v>
          </cell>
          <cell r="W13">
            <v>0</v>
          </cell>
          <cell r="X13">
            <v>0</v>
          </cell>
          <cell r="Y13">
            <v>0</v>
          </cell>
        </row>
      </sheetData>
      <sheetData sheetId="30"/>
      <sheetData sheetId="3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Telekom-Anleihe"/>
      <sheetName val="Beisp. 7.1.1"/>
      <sheetName val="Beisp. 7.1.2"/>
      <sheetName val="Beisp. 7.1.3"/>
      <sheetName val="Beisp. 7.3.1 u. 7.3.2"/>
      <sheetName val="Beisp. 7.3.3"/>
      <sheetName val="Beisp. 7.3.4"/>
      <sheetName val="Beisp. 7.3.5"/>
      <sheetName val="Beisp. 7.3.6"/>
      <sheetName val="Beisp. 7.4.1"/>
      <sheetName val="Beisp. 7.5.1"/>
      <sheetName val="Beisp. 7.5.2"/>
      <sheetName val="Abb. 7.5.1"/>
      <sheetName val="Beisp. 7.5.3"/>
      <sheetName val="Beisp. 7.5.4"/>
      <sheetName val="Beisp. 7.5.5"/>
      <sheetName val="Abb. 7.6.1"/>
      <sheetName val="Kapitel 7.7"/>
      <sheetName val="Aufg. 7.1"/>
      <sheetName val="Aufg. 7.2"/>
      <sheetName val="Aufg. 7.3"/>
      <sheetName val="Aufg. 7.4"/>
      <sheetName val="Aufg. 7.5"/>
      <sheetName val="Aufg. 7.6"/>
      <sheetName val="Aufg. 7.7"/>
      <sheetName val="Aufg. 7.8"/>
      <sheetName val="Aufg. 7.9"/>
      <sheetName val="Aufg. 7.10"/>
      <sheetName val="Aufg. 7.11"/>
      <sheetName val="Aufg. 7.12"/>
      <sheetName val="Aufg. 7.13"/>
    </sheetNames>
    <sheetDataSet>
      <sheetData sheetId="0">
        <row r="15">
          <cell r="B15">
            <v>5.2499999999999998E-2</v>
          </cell>
        </row>
        <row r="26">
          <cell r="E26">
            <v>100</v>
          </cell>
        </row>
        <row r="41">
          <cell r="H41">
            <v>99</v>
          </cell>
        </row>
        <row r="45">
          <cell r="K45">
            <v>364</v>
          </cell>
        </row>
        <row r="46">
          <cell r="K46">
            <v>365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20.bin"/><Relationship Id="rId4" Type="http://schemas.openxmlformats.org/officeDocument/2006/relationships/comments" Target="../comments4.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tabSelected="1" workbookViewId="0">
      <selection activeCell="A5" sqref="A5"/>
    </sheetView>
  </sheetViews>
  <sheetFormatPr baseColWidth="10" defaultRowHeight="12.75"/>
  <cols>
    <col min="1" max="1" width="113.5703125" style="499" customWidth="1"/>
    <col min="2" max="2" width="9.7109375" style="499" customWidth="1"/>
    <col min="3" max="16384" width="11.42578125" style="499"/>
  </cols>
  <sheetData>
    <row r="1" spans="1:2" ht="15.75">
      <c r="A1" s="497"/>
      <c r="B1" s="498"/>
    </row>
    <row r="2" spans="1:2" ht="15.75">
      <c r="A2" s="497" t="s">
        <v>556</v>
      </c>
      <c r="B2" s="498"/>
    </row>
    <row r="3" spans="1:2">
      <c r="A3" s="498"/>
      <c r="B3" s="498"/>
    </row>
    <row r="4" spans="1:2">
      <c r="A4" s="500"/>
      <c r="B4" s="498"/>
    </row>
    <row r="5" spans="1:2" ht="23.25">
      <c r="A5" s="501" t="s">
        <v>561</v>
      </c>
      <c r="B5" s="498"/>
    </row>
    <row r="6" spans="1:2">
      <c r="A6" s="502"/>
      <c r="B6" s="498"/>
    </row>
    <row r="7" spans="1:2">
      <c r="A7" s="498"/>
      <c r="B7" s="498"/>
    </row>
    <row r="8" spans="1:2">
      <c r="A8" s="498"/>
      <c r="B8" s="498"/>
    </row>
    <row r="9" spans="1:2">
      <c r="A9" s="503" t="s">
        <v>581</v>
      </c>
      <c r="B9" s="498"/>
    </row>
    <row r="10" spans="1:2">
      <c r="A10" s="503" t="s">
        <v>582</v>
      </c>
      <c r="B10" s="498"/>
    </row>
    <row r="11" spans="1:2">
      <c r="A11" s="503" t="s">
        <v>583</v>
      </c>
      <c r="B11" s="498"/>
    </row>
    <row r="12" spans="1:2">
      <c r="A12" s="504" t="s">
        <v>584</v>
      </c>
      <c r="B12" s="498"/>
    </row>
    <row r="13" spans="1:2">
      <c r="A13" s="498"/>
      <c r="B13" s="498"/>
    </row>
    <row r="14" spans="1:2">
      <c r="A14" s="498"/>
      <c r="B14" s="498"/>
    </row>
    <row r="15" spans="1:2">
      <c r="A15" s="504" t="s">
        <v>557</v>
      </c>
      <c r="B15" s="498"/>
    </row>
    <row r="16" spans="1:2">
      <c r="A16" s="498" t="s">
        <v>558</v>
      </c>
      <c r="B16" s="498"/>
    </row>
    <row r="17" spans="1:2">
      <c r="A17" s="498"/>
      <c r="B17" s="498"/>
    </row>
    <row r="18" spans="1:2">
      <c r="A18" s="498" t="s">
        <v>559</v>
      </c>
      <c r="B18" s="498"/>
    </row>
    <row r="19" spans="1:2">
      <c r="A19" s="498"/>
      <c r="B19" s="498"/>
    </row>
    <row r="20" spans="1:2">
      <c r="A20" s="498" t="s">
        <v>560</v>
      </c>
      <c r="B20" s="498"/>
    </row>
  </sheetData>
  <pageMargins left="0.78740157499999996" right="0.78740157499999996" top="0.984251969" bottom="0.984251969" header="0.4921259845" footer="0.492125984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selection activeCell="B3" sqref="B3"/>
    </sheetView>
  </sheetViews>
  <sheetFormatPr baseColWidth="10" defaultRowHeight="12.75"/>
  <cols>
    <col min="5" max="5" width="13.140625" bestFit="1" customWidth="1"/>
  </cols>
  <sheetData>
    <row r="1" spans="1:6">
      <c r="A1" s="84" t="s">
        <v>360</v>
      </c>
      <c r="B1" s="70"/>
      <c r="C1" s="70"/>
      <c r="D1" s="84" t="s">
        <v>65</v>
      </c>
      <c r="E1" s="70"/>
      <c r="F1" s="70"/>
    </row>
    <row r="2" spans="1:6">
      <c r="A2" s="70"/>
      <c r="B2" s="70"/>
      <c r="C2" s="70"/>
      <c r="D2" s="70"/>
      <c r="E2" s="70"/>
      <c r="F2" s="70"/>
    </row>
    <row r="3" spans="1:6">
      <c r="A3" s="70" t="s">
        <v>57</v>
      </c>
      <c r="B3" s="74">
        <v>40</v>
      </c>
      <c r="C3" s="70"/>
      <c r="D3" s="70"/>
      <c r="E3" s="70"/>
      <c r="F3" s="70"/>
    </row>
    <row r="4" spans="1:6">
      <c r="A4" s="70"/>
      <c r="B4" s="70"/>
      <c r="C4" s="70"/>
      <c r="D4" s="70"/>
      <c r="E4" s="70"/>
      <c r="F4" s="70"/>
    </row>
    <row r="5" spans="1:6">
      <c r="A5" s="70" t="s">
        <v>61</v>
      </c>
      <c r="B5" s="88">
        <v>0</v>
      </c>
      <c r="C5" s="70" t="s">
        <v>68</v>
      </c>
      <c r="D5" s="86">
        <v>8.3333333333333329E-2</v>
      </c>
      <c r="E5" s="70" t="s">
        <v>63</v>
      </c>
      <c r="F5" s="70"/>
    </row>
    <row r="6" spans="1:6">
      <c r="A6" s="70"/>
      <c r="B6" s="70"/>
      <c r="C6" s="70"/>
      <c r="D6" s="72" t="s">
        <v>279</v>
      </c>
      <c r="E6" s="70">
        <f>(1+D5*B8)/(1+B8*B7)</f>
        <v>0.98366013071895431</v>
      </c>
      <c r="F6" s="70"/>
    </row>
    <row r="7" spans="1:6">
      <c r="A7" s="70" t="s">
        <v>13</v>
      </c>
      <c r="B7" s="74">
        <v>0.5</v>
      </c>
      <c r="C7" s="70" t="s">
        <v>59</v>
      </c>
      <c r="D7" s="70"/>
      <c r="E7" s="70"/>
      <c r="F7" s="70"/>
    </row>
    <row r="8" spans="1:6">
      <c r="A8" s="70" t="s">
        <v>60</v>
      </c>
      <c r="B8" s="85">
        <v>0.04</v>
      </c>
      <c r="C8" s="70" t="s">
        <v>67</v>
      </c>
      <c r="D8" s="70"/>
      <c r="E8" s="70"/>
      <c r="F8" s="70"/>
    </row>
    <row r="9" spans="1:6">
      <c r="A9" s="70"/>
      <c r="B9" s="70"/>
      <c r="C9" s="70"/>
      <c r="D9" s="70"/>
      <c r="E9" s="70"/>
      <c r="F9" s="70"/>
    </row>
    <row r="10" spans="1:6">
      <c r="A10" s="70" t="s">
        <v>58</v>
      </c>
      <c r="B10" s="253">
        <f>B3*(1+B7*B8)-B5/E6</f>
        <v>40.799999999999997</v>
      </c>
      <c r="C10" s="70"/>
      <c r="D10" s="70"/>
      <c r="E10" s="70"/>
      <c r="F10" s="70"/>
    </row>
    <row r="11" spans="1:6">
      <c r="A11" s="70"/>
      <c r="B11" s="70"/>
      <c r="C11" s="70"/>
      <c r="D11" s="70"/>
      <c r="E11" s="70"/>
      <c r="F11" s="70"/>
    </row>
    <row r="13" spans="1:6">
      <c r="A13" s="84" t="s">
        <v>362</v>
      </c>
      <c r="B13" s="70"/>
      <c r="C13" s="70"/>
      <c r="D13" s="84" t="s">
        <v>65</v>
      </c>
      <c r="E13" s="70"/>
      <c r="F13" s="70"/>
    </row>
    <row r="14" spans="1:6">
      <c r="A14" s="70"/>
      <c r="B14" s="70"/>
      <c r="C14" s="70"/>
      <c r="D14" s="70"/>
      <c r="E14" s="70"/>
      <c r="F14" s="70"/>
    </row>
    <row r="15" spans="1:6">
      <c r="A15" s="70" t="s">
        <v>57</v>
      </c>
      <c r="B15" s="74">
        <v>40</v>
      </c>
      <c r="C15" s="70"/>
      <c r="D15" s="70"/>
      <c r="E15" s="70"/>
      <c r="F15" s="70"/>
    </row>
    <row r="16" spans="1:6">
      <c r="A16" s="70"/>
      <c r="B16" s="70"/>
      <c r="C16" s="70"/>
      <c r="D16" s="70"/>
      <c r="E16" s="70"/>
      <c r="F16" s="70"/>
    </row>
    <row r="17" spans="1:6">
      <c r="A17" s="70" t="s">
        <v>61</v>
      </c>
      <c r="B17" s="88">
        <v>0.5</v>
      </c>
      <c r="C17" s="70" t="s">
        <v>68</v>
      </c>
      <c r="D17" s="86">
        <v>8.3333333333333329E-2</v>
      </c>
      <c r="E17" s="70" t="s">
        <v>63</v>
      </c>
      <c r="F17" s="70"/>
    </row>
    <row r="18" spans="1:6">
      <c r="A18" s="70"/>
      <c r="B18" s="70"/>
      <c r="C18" s="70"/>
      <c r="D18" s="72" t="s">
        <v>279</v>
      </c>
      <c r="E18" s="70">
        <f>(1+D17*B20)/(1+B20*B19)</f>
        <v>0.98366013071895431</v>
      </c>
      <c r="F18" s="70"/>
    </row>
    <row r="19" spans="1:6">
      <c r="A19" s="70" t="s">
        <v>13</v>
      </c>
      <c r="B19" s="74">
        <v>0.5</v>
      </c>
      <c r="C19" s="70" t="s">
        <v>59</v>
      </c>
      <c r="D19" s="70"/>
      <c r="E19" s="70"/>
      <c r="F19" s="70"/>
    </row>
    <row r="20" spans="1:6">
      <c r="A20" s="70" t="s">
        <v>60</v>
      </c>
      <c r="B20" s="85">
        <v>0.04</v>
      </c>
      <c r="C20" s="70" t="s">
        <v>67</v>
      </c>
      <c r="D20" s="70"/>
      <c r="E20" s="70"/>
      <c r="F20" s="70"/>
    </row>
    <row r="21" spans="1:6">
      <c r="A21" s="70"/>
      <c r="B21" s="70"/>
      <c r="C21" s="70"/>
      <c r="D21" s="70"/>
      <c r="E21" s="70"/>
      <c r="F21" s="70"/>
    </row>
    <row r="22" spans="1:6">
      <c r="A22" s="70" t="s">
        <v>58</v>
      </c>
      <c r="B22" s="84">
        <f>B15*(1+B19*B20)-B17/E18</f>
        <v>40.291694352159467</v>
      </c>
      <c r="C22" s="70"/>
      <c r="D22" s="70"/>
      <c r="E22" s="70"/>
      <c r="F22" s="70"/>
    </row>
    <row r="23" spans="1:6">
      <c r="A23" s="70"/>
      <c r="B23" s="70"/>
      <c r="C23" s="70"/>
      <c r="D23" s="70"/>
      <c r="E23" s="70"/>
      <c r="F23" s="70"/>
    </row>
    <row r="25" spans="1:6">
      <c r="A25" s="84" t="s">
        <v>361</v>
      </c>
      <c r="B25" s="70"/>
      <c r="C25" s="70"/>
      <c r="D25" s="84" t="s">
        <v>66</v>
      </c>
      <c r="E25" s="70"/>
      <c r="F25" s="70"/>
    </row>
    <row r="26" spans="1:6">
      <c r="A26" s="70"/>
      <c r="B26" s="70"/>
      <c r="C26" s="70"/>
      <c r="D26" s="70"/>
      <c r="E26" s="70"/>
      <c r="F26" s="70"/>
    </row>
    <row r="27" spans="1:6">
      <c r="A27" s="70" t="s">
        <v>57</v>
      </c>
      <c r="B27" s="74">
        <v>50</v>
      </c>
      <c r="C27" s="70"/>
      <c r="D27" s="70"/>
      <c r="E27" s="70"/>
      <c r="F27" s="70"/>
    </row>
    <row r="28" spans="1:6">
      <c r="A28" s="70"/>
      <c r="B28" s="70"/>
      <c r="C28" s="70"/>
      <c r="D28" s="70"/>
      <c r="E28" s="70"/>
      <c r="F28" s="70"/>
    </row>
    <row r="29" spans="1:6">
      <c r="A29" s="70" t="s">
        <v>61</v>
      </c>
      <c r="B29" s="74">
        <v>0.96</v>
      </c>
      <c r="C29" s="70" t="s">
        <v>68</v>
      </c>
      <c r="D29" s="86">
        <v>0.16666666666666666</v>
      </c>
      <c r="E29" s="70" t="s">
        <v>63</v>
      </c>
      <c r="F29" s="70"/>
    </row>
    <row r="30" spans="1:6">
      <c r="A30" s="70"/>
      <c r="B30" s="70"/>
      <c r="C30" s="70"/>
      <c r="D30" s="70"/>
      <c r="E30" s="70"/>
      <c r="F30" s="70"/>
    </row>
    <row r="31" spans="1:6">
      <c r="A31" s="70" t="s">
        <v>13</v>
      </c>
      <c r="B31" s="74">
        <v>0.5</v>
      </c>
      <c r="C31" s="70" t="s">
        <v>59</v>
      </c>
      <c r="D31" s="70"/>
      <c r="E31" s="70"/>
      <c r="F31" s="70"/>
    </row>
    <row r="32" spans="1:6">
      <c r="A32" s="70" t="s">
        <v>60</v>
      </c>
      <c r="B32" s="85">
        <v>0.03</v>
      </c>
      <c r="C32" s="70"/>
      <c r="D32" s="70"/>
      <c r="E32" s="70"/>
      <c r="F32" s="70"/>
    </row>
    <row r="33" spans="1:6">
      <c r="A33" s="70"/>
      <c r="B33" s="70"/>
      <c r="C33" s="70"/>
      <c r="D33" s="70"/>
      <c r="E33" s="70"/>
      <c r="F33" s="70"/>
    </row>
    <row r="34" spans="1:6">
      <c r="A34" s="70" t="s">
        <v>58</v>
      </c>
      <c r="B34" s="87">
        <f>B27*EXP(B31*B32)-B29*EXP(B32*(B31-D29))</f>
        <v>49.786005070385144</v>
      </c>
      <c r="C34" s="70"/>
      <c r="D34" s="70"/>
      <c r="E34" s="70"/>
      <c r="F34" s="70"/>
    </row>
    <row r="35" spans="1:6">
      <c r="A35" s="70"/>
      <c r="B35" s="70"/>
      <c r="C35" s="70"/>
      <c r="D35" s="70"/>
      <c r="E35" s="70"/>
      <c r="F35" s="70"/>
    </row>
  </sheetData>
  <phoneticPr fontId="0" type="noConversion"/>
  <pageMargins left="0.78740157499999996" right="0.78740157499999996" top="0.984251969" bottom="0.984251969" header="0.4921259845" footer="0.4921259845"/>
  <headerFooter alignWithMargins="0">
    <oddHeader>&amp;A</oddHeader>
    <oddFooter>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B3" sqref="B3"/>
    </sheetView>
  </sheetViews>
  <sheetFormatPr baseColWidth="10" defaultRowHeight="12.75"/>
  <cols>
    <col min="1" max="1" width="12.85546875" customWidth="1"/>
  </cols>
  <sheetData>
    <row r="1" spans="1:4">
      <c r="A1" s="84" t="s">
        <v>56</v>
      </c>
      <c r="B1" s="70"/>
      <c r="C1" s="70"/>
    </row>
    <row r="2" spans="1:4">
      <c r="A2" s="84" t="s">
        <v>404</v>
      </c>
      <c r="B2" s="70"/>
      <c r="C2" s="70"/>
    </row>
    <row r="3" spans="1:4">
      <c r="A3" s="70" t="s">
        <v>57</v>
      </c>
      <c r="B3" s="74">
        <v>50</v>
      </c>
      <c r="C3" s="70"/>
    </row>
    <row r="4" spans="1:4">
      <c r="A4" s="70" t="s">
        <v>58</v>
      </c>
      <c r="B4" s="74">
        <v>48</v>
      </c>
      <c r="C4" s="70"/>
    </row>
    <row r="5" spans="1:4">
      <c r="A5" s="70" t="s">
        <v>13</v>
      </c>
      <c r="B5" s="86">
        <f>3/12</f>
        <v>0.25</v>
      </c>
      <c r="C5" s="70" t="s">
        <v>59</v>
      </c>
    </row>
    <row r="6" spans="1:4">
      <c r="A6" s="70" t="s">
        <v>60</v>
      </c>
      <c r="B6" s="85">
        <v>0.04</v>
      </c>
      <c r="C6" s="70"/>
      <c r="D6" s="85"/>
    </row>
    <row r="7" spans="1:4">
      <c r="A7" s="70"/>
      <c r="B7" s="70"/>
      <c r="C7" s="70"/>
    </row>
    <row r="8" spans="1:4">
      <c r="A8" s="70" t="s">
        <v>61</v>
      </c>
      <c r="B8" s="74">
        <v>0.96</v>
      </c>
      <c r="C8" s="70"/>
    </row>
    <row r="9" spans="1:4">
      <c r="A9" s="70" t="s">
        <v>62</v>
      </c>
      <c r="B9" s="86">
        <f>1/12</f>
        <v>8.3333333333333329E-2</v>
      </c>
      <c r="C9" s="70" t="s">
        <v>63</v>
      </c>
    </row>
    <row r="10" spans="1:4">
      <c r="A10" s="70"/>
      <c r="B10" s="70"/>
      <c r="C10" s="70"/>
    </row>
    <row r="11" spans="1:4">
      <c r="A11" s="70" t="s">
        <v>64</v>
      </c>
      <c r="B11" s="70">
        <f>B3-B4*EXP(-B6*B5)-B8*EXP(-B9*B6)</f>
        <v>1.5208026526275922</v>
      </c>
      <c r="C11" s="70"/>
    </row>
    <row r="12" spans="1:4">
      <c r="A12" s="70"/>
      <c r="B12" s="70"/>
      <c r="C12" s="70"/>
    </row>
  </sheetData>
  <phoneticPr fontId="0" type="noConversion"/>
  <pageMargins left="0.78740157499999996" right="0.78740157499999996" top="0.984251969" bottom="0.984251969" header="0.4921259845" footer="0.4921259845"/>
  <headerFooter alignWithMargins="0">
    <oddHeader>&amp;A</oddHeader>
    <oddFooter>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B3" sqref="B3"/>
    </sheetView>
  </sheetViews>
  <sheetFormatPr baseColWidth="10" defaultRowHeight="12.75"/>
  <cols>
    <col min="2" max="2" width="13.140625" bestFit="1" customWidth="1"/>
  </cols>
  <sheetData>
    <row r="1" spans="1:4">
      <c r="A1" s="84" t="s">
        <v>359</v>
      </c>
      <c r="B1" s="70"/>
      <c r="C1" s="70"/>
    </row>
    <row r="2" spans="1:4">
      <c r="A2" s="70"/>
      <c r="B2" s="70"/>
      <c r="C2" s="70"/>
    </row>
    <row r="3" spans="1:4">
      <c r="A3" s="70" t="s">
        <v>57</v>
      </c>
      <c r="B3" s="74">
        <v>50</v>
      </c>
      <c r="C3" s="70"/>
    </row>
    <row r="4" spans="1:4">
      <c r="A4" s="70" t="s">
        <v>58</v>
      </c>
      <c r="B4" s="74">
        <v>51</v>
      </c>
      <c r="C4" s="70"/>
    </row>
    <row r="5" spans="1:4">
      <c r="A5" s="70" t="s">
        <v>13</v>
      </c>
      <c r="B5" s="7">
        <v>2</v>
      </c>
      <c r="C5" s="70" t="s">
        <v>93</v>
      </c>
    </row>
    <row r="6" spans="1:4">
      <c r="A6" s="70" t="s">
        <v>60</v>
      </c>
      <c r="B6" s="85">
        <v>0.03</v>
      </c>
      <c r="C6" s="70" t="s">
        <v>92</v>
      </c>
      <c r="D6" s="85"/>
    </row>
    <row r="7" spans="1:4">
      <c r="A7" s="70"/>
      <c r="B7" s="70"/>
      <c r="C7" s="70"/>
    </row>
    <row r="8" spans="1:4">
      <c r="A8" s="70" t="s">
        <v>61</v>
      </c>
      <c r="B8" s="74">
        <v>5</v>
      </c>
      <c r="C8" s="70"/>
    </row>
    <row r="9" spans="1:4">
      <c r="A9" s="70" t="s">
        <v>62</v>
      </c>
      <c r="B9" s="7">
        <v>1</v>
      </c>
      <c r="C9" s="70" t="s">
        <v>93</v>
      </c>
    </row>
    <row r="10" spans="1:4">
      <c r="A10" s="70"/>
      <c r="B10" s="70"/>
      <c r="C10" s="70"/>
    </row>
    <row r="11" spans="1:4">
      <c r="A11" s="70" t="s">
        <v>355</v>
      </c>
      <c r="B11" s="70"/>
      <c r="C11" s="70"/>
    </row>
    <row r="12" spans="1:4">
      <c r="A12" s="70" t="s">
        <v>356</v>
      </c>
      <c r="B12" s="155">
        <f>1/(1+B6)^B5*((B3*(1+B6)^B5-B8*(1+B6)^B9)-B4)</f>
        <v>-2.9267602978603109</v>
      </c>
      <c r="C12" s="70"/>
    </row>
    <row r="13" spans="1:4">
      <c r="A13" s="70"/>
      <c r="B13" s="70"/>
      <c r="C13" s="70"/>
    </row>
    <row r="14" spans="1:4">
      <c r="A14" s="70" t="s">
        <v>357</v>
      </c>
      <c r="B14" s="70"/>
      <c r="C14" s="70"/>
    </row>
    <row r="15" spans="1:4">
      <c r="A15" s="70" t="s">
        <v>358</v>
      </c>
      <c r="B15" s="338">
        <f>B12*(1+B6)^B5</f>
        <v>-3.1050000000000035</v>
      </c>
      <c r="C15" s="70"/>
    </row>
    <row r="16" spans="1:4">
      <c r="A16" s="70"/>
      <c r="B16" s="70"/>
      <c r="C16" s="70"/>
    </row>
    <row r="17" spans="1:3">
      <c r="A17" s="70"/>
      <c r="B17" s="70"/>
      <c r="C17" s="70"/>
    </row>
    <row r="18" spans="1:3">
      <c r="A18" s="70"/>
      <c r="B18" s="70"/>
      <c r="C18" s="70"/>
    </row>
    <row r="19" spans="1:3">
      <c r="A19" s="70"/>
      <c r="B19" s="70"/>
      <c r="C19" s="70"/>
    </row>
    <row r="20" spans="1:3">
      <c r="A20" s="70"/>
      <c r="B20" s="70"/>
      <c r="C20" s="70"/>
    </row>
    <row r="21" spans="1:3">
      <c r="A21" s="70"/>
      <c r="B21" s="70"/>
      <c r="C21" s="70"/>
    </row>
  </sheetData>
  <phoneticPr fontId="0" type="noConversion"/>
  <pageMargins left="0.78740157499999996" right="0.78740157499999996" top="0.984251969" bottom="0.984251969" header="0.4921259845" footer="0.4921259845"/>
  <headerFooter alignWithMargins="0">
    <oddHeader>&amp;A</oddHeader>
    <oddFooter>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B3" sqref="B3"/>
    </sheetView>
  </sheetViews>
  <sheetFormatPr baseColWidth="10" defaultRowHeight="12.75"/>
  <cols>
    <col min="1" max="1" width="18.7109375" customWidth="1"/>
  </cols>
  <sheetData>
    <row r="1" spans="1:8">
      <c r="A1" s="71" t="s">
        <v>547</v>
      </c>
      <c r="B1" s="70"/>
      <c r="C1" s="70"/>
      <c r="D1" s="70"/>
      <c r="E1" s="70"/>
      <c r="F1" s="70"/>
      <c r="G1" s="70"/>
      <c r="H1" s="70"/>
    </row>
    <row r="2" spans="1:8">
      <c r="A2" s="70"/>
      <c r="B2" s="70"/>
      <c r="C2" s="70"/>
      <c r="D2" s="70"/>
      <c r="E2" s="70"/>
      <c r="F2" s="70"/>
      <c r="G2" s="70"/>
      <c r="H2" s="70"/>
    </row>
    <row r="3" spans="1:8">
      <c r="A3" s="70" t="s">
        <v>94</v>
      </c>
      <c r="B3" s="2">
        <v>1.8</v>
      </c>
      <c r="C3" s="70"/>
      <c r="D3" s="70"/>
      <c r="E3" s="70"/>
      <c r="F3" s="70"/>
      <c r="G3" s="70"/>
      <c r="H3" s="70"/>
    </row>
    <row r="4" spans="1:8">
      <c r="A4" s="70" t="s">
        <v>95</v>
      </c>
      <c r="B4" s="2">
        <v>35</v>
      </c>
      <c r="C4" s="70"/>
      <c r="D4" s="70"/>
      <c r="E4" s="70"/>
      <c r="F4" s="70"/>
      <c r="G4" s="70"/>
      <c r="H4" s="70"/>
    </row>
    <row r="5" spans="1:8">
      <c r="A5" s="70" t="s">
        <v>96</v>
      </c>
      <c r="B5" s="2">
        <v>34</v>
      </c>
      <c r="C5" s="70"/>
      <c r="D5" s="70"/>
      <c r="E5" s="70"/>
      <c r="F5" s="70"/>
      <c r="G5" s="70"/>
      <c r="H5" s="70"/>
    </row>
    <row r="6" spans="1:8">
      <c r="A6" s="70"/>
      <c r="B6" s="1"/>
      <c r="C6" s="70"/>
      <c r="D6" s="70"/>
      <c r="E6" s="70"/>
      <c r="F6" s="70"/>
      <c r="G6" s="70"/>
      <c r="H6" s="70"/>
    </row>
    <row r="7" spans="1:8">
      <c r="A7" s="70" t="s">
        <v>97</v>
      </c>
      <c r="B7" s="1"/>
      <c r="C7" s="70"/>
      <c r="D7" s="70"/>
      <c r="E7" s="70"/>
      <c r="F7" s="70"/>
      <c r="G7" s="70"/>
      <c r="H7" s="70"/>
    </row>
    <row r="8" spans="1:8">
      <c r="A8" s="70" t="s">
        <v>98</v>
      </c>
      <c r="B8" s="2">
        <v>0</v>
      </c>
      <c r="C8" s="70"/>
      <c r="D8" s="70"/>
      <c r="E8" s="70"/>
      <c r="F8" s="70"/>
      <c r="G8" s="70"/>
      <c r="H8" s="70"/>
    </row>
    <row r="9" spans="1:8">
      <c r="A9" s="70" t="s">
        <v>99</v>
      </c>
      <c r="B9" s="2">
        <v>60</v>
      </c>
      <c r="C9" s="70"/>
      <c r="D9" s="70"/>
      <c r="E9" s="70"/>
      <c r="F9" s="70"/>
      <c r="G9" s="70"/>
      <c r="H9" s="70"/>
    </row>
    <row r="10" spans="1:8">
      <c r="A10" s="70"/>
      <c r="B10" s="1"/>
      <c r="C10" s="70"/>
      <c r="D10" s="70"/>
      <c r="E10" s="70" t="s">
        <v>100</v>
      </c>
      <c r="F10" s="70" t="s">
        <v>101</v>
      </c>
      <c r="G10" s="70"/>
      <c r="H10" s="70"/>
    </row>
    <row r="11" spans="1:8">
      <c r="A11" s="70"/>
      <c r="B11" s="1"/>
      <c r="C11" s="70"/>
      <c r="D11" s="4">
        <f>B8</f>
        <v>0</v>
      </c>
      <c r="E11" s="4">
        <f>MAX(B8-B4,0)-B3</f>
        <v>-1.8</v>
      </c>
      <c r="F11" s="4">
        <f>D11-$B$5</f>
        <v>-34</v>
      </c>
      <c r="G11" s="70"/>
      <c r="H11" s="70"/>
    </row>
    <row r="12" spans="1:8">
      <c r="A12" s="71" t="s">
        <v>102</v>
      </c>
      <c r="B12" s="1"/>
      <c r="C12" s="70"/>
      <c r="D12" s="4">
        <f>B4</f>
        <v>35</v>
      </c>
      <c r="E12" s="4">
        <f>-B3</f>
        <v>-1.8</v>
      </c>
      <c r="F12" s="4">
        <f>D12-$B$5</f>
        <v>1</v>
      </c>
      <c r="G12" s="70"/>
      <c r="H12" s="70"/>
    </row>
    <row r="13" spans="1:8">
      <c r="A13" s="70" t="s">
        <v>103</v>
      </c>
      <c r="B13" s="1"/>
      <c r="C13" s="70"/>
      <c r="D13" s="4">
        <f>B9</f>
        <v>60</v>
      </c>
      <c r="E13" s="4">
        <f>MAX(0,B9-B4)-B3</f>
        <v>23.2</v>
      </c>
      <c r="F13" s="4">
        <f>D13-$B$5</f>
        <v>26</v>
      </c>
      <c r="G13" s="70"/>
      <c r="H13" s="70"/>
    </row>
    <row r="14" spans="1:8">
      <c r="A14" s="70" t="s">
        <v>104</v>
      </c>
      <c r="B14" s="1">
        <f>MAX(B5-B4,0)-B3</f>
        <v>-1.8</v>
      </c>
      <c r="C14" s="70"/>
      <c r="D14" s="70"/>
      <c r="E14" s="70"/>
      <c r="F14" s="70"/>
      <c r="G14" s="70"/>
      <c r="H14" s="70"/>
    </row>
    <row r="15" spans="1:8">
      <c r="A15" s="70"/>
      <c r="B15" s="1"/>
      <c r="C15" s="70"/>
      <c r="D15" s="1"/>
      <c r="E15" s="1"/>
      <c r="F15" s="70"/>
      <c r="G15" s="70"/>
      <c r="H15" s="70"/>
    </row>
    <row r="16" spans="1:8">
      <c r="A16" s="70" t="s">
        <v>105</v>
      </c>
      <c r="B16" s="1">
        <f>B4+B3</f>
        <v>36.799999999999997</v>
      </c>
      <c r="C16" s="70"/>
      <c r="D16" s="1"/>
      <c r="E16" s="1"/>
      <c r="F16" s="70"/>
      <c r="G16" s="70"/>
      <c r="H16" s="70"/>
    </row>
    <row r="17" spans="1:8">
      <c r="A17" s="70"/>
      <c r="B17" s="70"/>
      <c r="C17" s="70"/>
      <c r="D17" s="70"/>
      <c r="E17" s="70"/>
      <c r="F17" s="70"/>
      <c r="G17" s="70"/>
      <c r="H17" s="70"/>
    </row>
    <row r="18" spans="1:8">
      <c r="A18" s="70"/>
      <c r="B18" s="70"/>
      <c r="C18" s="70"/>
      <c r="D18" s="70"/>
      <c r="E18" s="70"/>
      <c r="F18" s="70"/>
      <c r="G18" s="70"/>
      <c r="H18" s="70"/>
    </row>
    <row r="19" spans="1:8">
      <c r="A19" s="70"/>
      <c r="B19" s="70"/>
      <c r="C19" s="70"/>
      <c r="D19" s="70"/>
      <c r="E19" s="70"/>
      <c r="F19" s="70"/>
      <c r="G19" s="70"/>
      <c r="H19" s="70"/>
    </row>
    <row r="20" spans="1:8">
      <c r="A20" s="70"/>
      <c r="B20" s="70"/>
      <c r="C20" s="70"/>
      <c r="D20" s="70"/>
      <c r="E20" s="70"/>
      <c r="F20" s="70"/>
      <c r="G20" s="70"/>
      <c r="H20" s="70"/>
    </row>
    <row r="21" spans="1:8">
      <c r="A21" s="70"/>
      <c r="B21" s="70"/>
      <c r="C21" s="70"/>
      <c r="D21" s="70"/>
      <c r="E21" s="70"/>
      <c r="F21" s="70"/>
      <c r="G21" s="70"/>
      <c r="H21" s="70"/>
    </row>
    <row r="22" spans="1:8">
      <c r="A22" s="71" t="s">
        <v>261</v>
      </c>
      <c r="B22" s="70"/>
      <c r="C22" s="70"/>
      <c r="D22" s="70"/>
      <c r="E22" s="70"/>
      <c r="F22" s="70"/>
      <c r="G22" s="70"/>
      <c r="H22" s="70"/>
    </row>
    <row r="23" spans="1:8">
      <c r="A23" s="70"/>
      <c r="B23" s="70"/>
      <c r="C23" s="70"/>
      <c r="D23" s="70"/>
      <c r="E23" s="70"/>
      <c r="F23" s="70"/>
      <c r="G23" s="70"/>
      <c r="H23" s="70"/>
    </row>
    <row r="24" spans="1:8">
      <c r="A24" s="70" t="s">
        <v>317</v>
      </c>
      <c r="B24" s="70"/>
      <c r="C24" s="70"/>
      <c r="D24" s="70"/>
      <c r="E24" s="70"/>
      <c r="F24" s="70"/>
      <c r="G24" s="70"/>
      <c r="H24" s="70"/>
    </row>
    <row r="25" spans="1:8">
      <c r="A25" s="70"/>
      <c r="B25" s="70"/>
      <c r="C25" s="70"/>
      <c r="D25" s="70"/>
      <c r="E25" s="70" t="s">
        <v>269</v>
      </c>
      <c r="F25" s="70" t="s">
        <v>101</v>
      </c>
      <c r="G25" s="70"/>
      <c r="H25" s="70"/>
    </row>
    <row r="26" spans="1:8">
      <c r="A26" s="70"/>
      <c r="B26" s="70"/>
      <c r="C26" s="70"/>
      <c r="D26" s="4">
        <f>B23</f>
        <v>0</v>
      </c>
      <c r="E26" s="1">
        <f>MAX($B$4-D26,0)-$B$3</f>
        <v>33.200000000000003</v>
      </c>
      <c r="F26" s="4">
        <f>D26-$B$5</f>
        <v>-34</v>
      </c>
      <c r="G26" s="70"/>
      <c r="H26" s="70"/>
    </row>
    <row r="27" spans="1:8">
      <c r="A27" s="70"/>
      <c r="B27" s="70"/>
      <c r="C27" s="70"/>
      <c r="D27" s="4">
        <f>D12</f>
        <v>35</v>
      </c>
      <c r="E27" s="1">
        <f>MAX($B$4-D27,0)-$B$3</f>
        <v>-1.8</v>
      </c>
      <c r="F27" s="4">
        <f>D27-$B$5</f>
        <v>1</v>
      </c>
      <c r="G27" s="70"/>
      <c r="H27" s="70"/>
    </row>
    <row r="28" spans="1:8">
      <c r="A28" s="70"/>
      <c r="B28" s="70"/>
      <c r="C28" s="70"/>
      <c r="D28" s="4">
        <f>D13</f>
        <v>60</v>
      </c>
      <c r="E28" s="1">
        <f>MAX($B$4-D28,0)-$B$3</f>
        <v>-1.8</v>
      </c>
      <c r="F28" s="4">
        <f>D28-$B$5</f>
        <v>26</v>
      </c>
      <c r="G28" s="70"/>
      <c r="H28" s="70"/>
    </row>
    <row r="29" spans="1:8">
      <c r="A29" s="70"/>
      <c r="B29" s="70"/>
      <c r="C29" s="70"/>
      <c r="D29" s="70"/>
      <c r="E29" s="70"/>
      <c r="F29" s="70"/>
      <c r="G29" s="70"/>
      <c r="H29" s="70"/>
    </row>
    <row r="30" spans="1:8">
      <c r="A30" s="70"/>
      <c r="B30" s="70"/>
      <c r="C30" s="70"/>
      <c r="D30" s="70"/>
      <c r="E30" s="70"/>
      <c r="F30" s="70"/>
      <c r="G30" s="70"/>
      <c r="H30" s="70"/>
    </row>
    <row r="31" spans="1:8">
      <c r="A31" s="70"/>
      <c r="B31" s="70"/>
      <c r="C31" s="70"/>
      <c r="D31" s="70"/>
      <c r="E31" s="70"/>
      <c r="F31" s="70"/>
      <c r="G31" s="70"/>
      <c r="H31" s="70"/>
    </row>
    <row r="32" spans="1:8">
      <c r="A32" s="70"/>
      <c r="B32" s="70"/>
      <c r="C32" s="70"/>
      <c r="D32" s="70"/>
      <c r="E32" s="70"/>
      <c r="F32" s="70"/>
      <c r="G32" s="70"/>
      <c r="H32" s="70"/>
    </row>
    <row r="33" spans="1:8">
      <c r="A33" s="70"/>
      <c r="B33" s="70"/>
      <c r="C33" s="70"/>
      <c r="D33" s="70"/>
      <c r="E33" s="70"/>
      <c r="F33" s="70"/>
      <c r="G33" s="70"/>
      <c r="H33" s="70"/>
    </row>
    <row r="34" spans="1:8">
      <c r="A34" s="70"/>
      <c r="B34" s="70"/>
      <c r="C34" s="70"/>
      <c r="D34" s="70"/>
      <c r="E34" s="70"/>
      <c r="F34" s="70"/>
      <c r="G34" s="70"/>
      <c r="H34" s="70"/>
    </row>
    <row r="35" spans="1:8">
      <c r="A35" s="70"/>
      <c r="B35" s="70"/>
      <c r="C35" s="70"/>
      <c r="D35" s="70"/>
      <c r="E35" s="70"/>
      <c r="F35" s="70"/>
      <c r="G35" s="70"/>
      <c r="H35" s="70"/>
    </row>
    <row r="36" spans="1:8">
      <c r="A36" s="70"/>
      <c r="B36" s="70"/>
      <c r="C36" s="70"/>
      <c r="D36" s="70"/>
      <c r="E36" s="70"/>
      <c r="F36" s="70"/>
      <c r="G36" s="70"/>
      <c r="H36" s="70"/>
    </row>
    <row r="37" spans="1:8">
      <c r="A37" s="70"/>
      <c r="B37" s="70"/>
      <c r="C37" s="70"/>
      <c r="D37" s="70"/>
      <c r="E37" s="70"/>
      <c r="F37" s="70"/>
      <c r="G37" s="70"/>
      <c r="H37" s="70"/>
    </row>
    <row r="38" spans="1:8">
      <c r="A38" s="70"/>
      <c r="B38" s="70"/>
      <c r="C38" s="70"/>
      <c r="D38" s="70"/>
      <c r="E38" s="70"/>
      <c r="F38" s="70"/>
      <c r="G38" s="70"/>
      <c r="H38" s="70"/>
    </row>
  </sheetData>
  <phoneticPr fontId="15" type="noConversion"/>
  <pageMargins left="0.78740157480314965" right="0.78740157480314965" top="0.98425196850393704" bottom="0.98425196850393704" header="0.51181102362204722" footer="0.51181102362204722"/>
  <pageSetup paperSize="9" orientation="landscape" horizontalDpi="4294967292" verticalDpi="300" r:id="rId1"/>
  <headerFooter alignWithMargins="0">
    <oddHeader>&amp;C&amp;F            &amp;A</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workbookViewId="0">
      <selection activeCell="C4" sqref="C4"/>
    </sheetView>
  </sheetViews>
  <sheetFormatPr baseColWidth="10" defaultRowHeight="12.75"/>
  <cols>
    <col min="1" max="1" width="12.7109375" customWidth="1"/>
    <col min="2" max="2" width="8.42578125" customWidth="1"/>
  </cols>
  <sheetData>
    <row r="1" spans="1:14">
      <c r="A1" s="71" t="s">
        <v>297</v>
      </c>
      <c r="B1" s="70"/>
      <c r="C1" s="70"/>
      <c r="D1" s="70"/>
      <c r="E1" s="70"/>
      <c r="F1" s="70"/>
      <c r="G1" s="70"/>
    </row>
    <row r="2" spans="1:14">
      <c r="A2" s="70"/>
      <c r="B2" s="70"/>
      <c r="C2" s="70"/>
      <c r="D2" s="70"/>
      <c r="E2" s="70"/>
      <c r="F2" s="70"/>
      <c r="G2" s="70"/>
    </row>
    <row r="3" spans="1:14">
      <c r="A3" s="70" t="s">
        <v>97</v>
      </c>
      <c r="B3" s="1"/>
      <c r="C3" s="70"/>
      <c r="D3" s="70"/>
      <c r="E3" s="70"/>
      <c r="F3" s="70"/>
      <c r="G3" s="70"/>
    </row>
    <row r="4" spans="1:14">
      <c r="A4" s="70" t="s">
        <v>98</v>
      </c>
      <c r="B4" s="1"/>
      <c r="C4" s="2">
        <v>0</v>
      </c>
      <c r="D4" s="70"/>
      <c r="E4" s="70"/>
      <c r="F4" s="70"/>
      <c r="G4" s="70"/>
    </row>
    <row r="5" spans="1:14">
      <c r="A5" s="70" t="s">
        <v>99</v>
      </c>
      <c r="B5" s="1"/>
      <c r="C5" s="2">
        <v>60</v>
      </c>
      <c r="D5" s="70"/>
      <c r="E5" s="70"/>
      <c r="F5" s="70"/>
      <c r="G5" s="70"/>
    </row>
    <row r="6" spans="1:14">
      <c r="A6" s="70"/>
      <c r="B6" s="1"/>
      <c r="C6" s="70"/>
      <c r="D6" s="70"/>
      <c r="E6" s="70"/>
      <c r="F6" s="70"/>
      <c r="G6" s="70"/>
    </row>
    <row r="7" spans="1:14">
      <c r="A7" s="70" t="s">
        <v>292</v>
      </c>
      <c r="B7" s="1"/>
      <c r="C7" s="74">
        <v>30</v>
      </c>
      <c r="D7" s="70" t="s">
        <v>294</v>
      </c>
      <c r="E7" s="70"/>
      <c r="F7" s="70"/>
      <c r="G7" s="70"/>
    </row>
    <row r="8" spans="1:14">
      <c r="A8" s="70" t="s">
        <v>293</v>
      </c>
      <c r="B8" s="1"/>
      <c r="C8" s="74">
        <v>35</v>
      </c>
      <c r="D8" s="70" t="s">
        <v>295</v>
      </c>
      <c r="E8" s="70"/>
      <c r="F8" s="70"/>
      <c r="G8" s="70"/>
    </row>
    <row r="9" spans="1:14">
      <c r="A9" s="70"/>
      <c r="B9" s="1"/>
      <c r="C9" s="70"/>
      <c r="D9" s="70"/>
      <c r="E9" s="70"/>
      <c r="F9" s="70"/>
      <c r="G9" s="70"/>
    </row>
    <row r="10" spans="1:14">
      <c r="A10" s="70"/>
      <c r="B10" s="257" t="s">
        <v>287</v>
      </c>
      <c r="C10" s="72" t="s">
        <v>95</v>
      </c>
      <c r="D10" s="72" t="s">
        <v>286</v>
      </c>
      <c r="E10" s="70"/>
      <c r="F10" s="70"/>
      <c r="G10" s="70"/>
      <c r="I10" t="s">
        <v>96</v>
      </c>
      <c r="J10" t="s">
        <v>288</v>
      </c>
      <c r="K10">
        <f>A12</f>
        <v>0</v>
      </c>
      <c r="L10" t="str">
        <f>A13</f>
        <v>Long Put</v>
      </c>
      <c r="M10">
        <f>A14</f>
        <v>0</v>
      </c>
      <c r="N10" t="s">
        <v>296</v>
      </c>
    </row>
    <row r="11" spans="1:14">
      <c r="A11" s="72" t="s">
        <v>288</v>
      </c>
      <c r="B11" s="287">
        <v>1</v>
      </c>
      <c r="C11" s="88">
        <v>30</v>
      </c>
      <c r="D11" s="88">
        <v>4</v>
      </c>
      <c r="E11" s="139"/>
      <c r="F11" s="70"/>
      <c r="G11" s="70"/>
      <c r="I11" s="286">
        <f>C4</f>
        <v>0</v>
      </c>
      <c r="J11" s="286">
        <f>$B$11*(MAX(I11-$C$11,0)-$D$11)</f>
        <v>-4</v>
      </c>
      <c r="K11">
        <f>$B$12*(-MAX(I11-$C$12,0)+$D$12)</f>
        <v>0</v>
      </c>
      <c r="L11">
        <f>$B$13*(MAX($C$11-I11,0)-$D$13)</f>
        <v>27</v>
      </c>
      <c r="M11">
        <f>$B$14*(-MAX($C$14-I11,0)+$D$14)</f>
        <v>0</v>
      </c>
      <c r="N11" s="286">
        <f>SUM(J11:M11)</f>
        <v>23</v>
      </c>
    </row>
    <row r="12" spans="1:14">
      <c r="A12" s="139"/>
      <c r="B12" s="139"/>
      <c r="C12" s="139"/>
      <c r="D12" s="139"/>
      <c r="E12" s="139"/>
      <c r="F12" s="70"/>
      <c r="G12" s="70"/>
      <c r="I12">
        <f>C7</f>
        <v>30</v>
      </c>
      <c r="J12" s="286">
        <f>$B$11*(MAX(I12-$C$11,0)-$D$11)</f>
        <v>-4</v>
      </c>
      <c r="K12">
        <f>$B$12*(-MAX(I12-$C$12,0)+$D$12)</f>
        <v>0</v>
      </c>
      <c r="L12">
        <f>$B$13*(MAX($C$11-I12,0)-$D$13)</f>
        <v>-3</v>
      </c>
      <c r="M12">
        <f>$B$14*(-MAX($C$14-I12,0)+$D$14)</f>
        <v>0</v>
      </c>
      <c r="N12" s="286">
        <f>SUM(J12:M12)</f>
        <v>-7</v>
      </c>
    </row>
    <row r="13" spans="1:14">
      <c r="A13" s="72" t="s">
        <v>290</v>
      </c>
      <c r="B13" s="287">
        <v>1</v>
      </c>
      <c r="C13" s="88">
        <v>30</v>
      </c>
      <c r="D13" s="88">
        <v>3</v>
      </c>
      <c r="E13" s="139"/>
      <c r="F13" s="70"/>
      <c r="G13" s="70"/>
      <c r="I13">
        <f>C8</f>
        <v>35</v>
      </c>
      <c r="J13" s="286">
        <f>$B$11*(MAX(I13-$C$11,0)-$D$11)</f>
        <v>1</v>
      </c>
      <c r="K13">
        <f>$B$12*(-MAX(I13-$C$12,0)+$D$12)</f>
        <v>0</v>
      </c>
      <c r="L13">
        <f>$B$13*(MAX($C$11-I13,0)-$D$13)</f>
        <v>-3</v>
      </c>
      <c r="M13">
        <f>$B$14*(-MAX($C$14-I13,0)+$D$14)</f>
        <v>0</v>
      </c>
      <c r="N13" s="286">
        <f>SUM(J13:M13)</f>
        <v>-2</v>
      </c>
    </row>
    <row r="14" spans="1:14">
      <c r="A14" s="70"/>
      <c r="B14" s="70"/>
      <c r="C14" s="70"/>
      <c r="D14" s="70"/>
      <c r="E14" s="70"/>
      <c r="F14" s="70"/>
      <c r="G14" s="70"/>
      <c r="I14" s="286">
        <f>C5</f>
        <v>60</v>
      </c>
      <c r="J14" s="286">
        <f>$B$11*(MAX(I14-$C$11,0)-$D$11)</f>
        <v>26</v>
      </c>
      <c r="K14">
        <f>$B$12*(-MAX(I14-$C$12,0)+$D$12)</f>
        <v>0</v>
      </c>
      <c r="L14">
        <f>$B$13*(MAX($C$11-I14,0)-$D$13)</f>
        <v>-3</v>
      </c>
      <c r="M14">
        <f>$B$14*(-MAX($C$14-I14,0)+$D$14)</f>
        <v>0</v>
      </c>
      <c r="N14" s="286">
        <f>SUM(J14:M14)</f>
        <v>23</v>
      </c>
    </row>
    <row r="15" spans="1:14">
      <c r="A15" s="70"/>
      <c r="B15" s="1"/>
      <c r="C15" s="70"/>
      <c r="D15" s="70"/>
      <c r="E15" s="70"/>
      <c r="F15" s="70"/>
      <c r="G15" s="70"/>
    </row>
    <row r="16" spans="1:14">
      <c r="A16" s="70"/>
      <c r="B16" s="70"/>
      <c r="C16" s="70"/>
      <c r="D16" s="70"/>
      <c r="E16" s="70"/>
      <c r="F16" s="70"/>
      <c r="G16" s="70"/>
    </row>
    <row r="17" spans="1:7">
      <c r="A17" s="70"/>
      <c r="B17" s="70"/>
      <c r="C17" s="70"/>
      <c r="D17" s="70"/>
      <c r="E17" s="70"/>
      <c r="F17" s="70"/>
      <c r="G17" s="70"/>
    </row>
    <row r="51" spans="1:8">
      <c r="A51" t="s">
        <v>228</v>
      </c>
      <c r="E51" t="s">
        <v>234</v>
      </c>
      <c r="H51" t="s">
        <v>12</v>
      </c>
    </row>
  </sheetData>
  <phoneticPr fontId="0" type="noConversion"/>
  <pageMargins left="0.78740157480314965" right="0.78740157480314965" top="0.98425196850393704" bottom="0.98425196850393704" header="0.51181102362204722" footer="0.51181102362204722"/>
  <pageSetup paperSize="9" orientation="landscape" horizontalDpi="4294967292" verticalDpi="300" r:id="rId1"/>
  <headerFooter alignWithMargins="0">
    <oddHeader>&amp;C&amp;F            &amp;A</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selection activeCell="C4" sqref="C4"/>
    </sheetView>
  </sheetViews>
  <sheetFormatPr baseColWidth="10" defaultRowHeight="12.75"/>
  <cols>
    <col min="1" max="1" width="12.7109375" customWidth="1"/>
    <col min="2" max="2" width="8.42578125" customWidth="1"/>
  </cols>
  <sheetData>
    <row r="1" spans="1:12">
      <c r="A1" s="71" t="s">
        <v>297</v>
      </c>
      <c r="B1" s="70"/>
      <c r="C1" s="70"/>
      <c r="D1" s="70"/>
      <c r="E1" s="70"/>
      <c r="F1" s="70"/>
      <c r="G1" s="70"/>
    </row>
    <row r="2" spans="1:12">
      <c r="A2" s="70"/>
      <c r="B2" s="70"/>
      <c r="C2" s="70"/>
      <c r="D2" s="70"/>
      <c r="E2" s="70"/>
      <c r="F2" s="70"/>
      <c r="G2" s="70"/>
    </row>
    <row r="3" spans="1:12">
      <c r="A3" s="70" t="s">
        <v>97</v>
      </c>
      <c r="B3" s="1"/>
      <c r="C3" s="70"/>
      <c r="D3" s="70"/>
      <c r="E3" s="70"/>
      <c r="F3" s="70"/>
      <c r="G3" s="70"/>
    </row>
    <row r="4" spans="1:12">
      <c r="A4" s="70" t="s">
        <v>98</v>
      </c>
      <c r="B4" s="1"/>
      <c r="C4" s="2">
        <v>0</v>
      </c>
      <c r="D4" s="70"/>
      <c r="E4" s="70"/>
      <c r="F4" s="70"/>
      <c r="G4" s="70"/>
    </row>
    <row r="5" spans="1:12">
      <c r="A5" s="70" t="s">
        <v>99</v>
      </c>
      <c r="B5" s="1"/>
      <c r="C5" s="2">
        <v>60</v>
      </c>
      <c r="D5" s="70"/>
      <c r="E5" s="70"/>
      <c r="F5" s="70"/>
      <c r="G5" s="70"/>
    </row>
    <row r="6" spans="1:12">
      <c r="A6" s="70"/>
      <c r="B6" s="1"/>
      <c r="C6" s="70"/>
      <c r="D6" s="70"/>
      <c r="E6" s="70"/>
      <c r="F6" s="70"/>
      <c r="G6" s="70"/>
    </row>
    <row r="7" spans="1:12">
      <c r="A7" s="70" t="s">
        <v>292</v>
      </c>
      <c r="B7" s="1"/>
      <c r="C7" s="74">
        <v>30</v>
      </c>
      <c r="D7" s="70" t="s">
        <v>294</v>
      </c>
      <c r="E7" s="70"/>
      <c r="F7" s="70"/>
      <c r="G7" s="70"/>
    </row>
    <row r="8" spans="1:12">
      <c r="A8" s="70" t="s">
        <v>293</v>
      </c>
      <c r="B8" s="1"/>
      <c r="C8" s="74">
        <v>40</v>
      </c>
      <c r="D8" s="70" t="s">
        <v>295</v>
      </c>
      <c r="E8" s="70"/>
      <c r="F8" s="70"/>
      <c r="G8" s="70"/>
    </row>
    <row r="9" spans="1:12">
      <c r="A9" s="70"/>
      <c r="B9" s="1"/>
      <c r="C9" s="70"/>
      <c r="D9" s="70"/>
      <c r="E9" s="70"/>
      <c r="F9" s="70"/>
      <c r="G9" s="70"/>
    </row>
    <row r="10" spans="1:12">
      <c r="A10" s="70"/>
      <c r="B10" s="257" t="s">
        <v>287</v>
      </c>
      <c r="C10" s="72" t="s">
        <v>95</v>
      </c>
      <c r="D10" s="72" t="s">
        <v>286</v>
      </c>
      <c r="E10" s="70"/>
      <c r="F10" s="70"/>
      <c r="G10" s="70"/>
      <c r="I10" t="s">
        <v>96</v>
      </c>
      <c r="J10" t="s">
        <v>288</v>
      </c>
      <c r="K10" t="str">
        <f>A12</f>
        <v>Short Call</v>
      </c>
      <c r="L10" t="s">
        <v>296</v>
      </c>
    </row>
    <row r="11" spans="1:12">
      <c r="A11" s="72" t="s">
        <v>288</v>
      </c>
      <c r="B11" s="287">
        <v>1</v>
      </c>
      <c r="C11" s="88">
        <v>30</v>
      </c>
      <c r="D11" s="88">
        <v>4</v>
      </c>
      <c r="E11" s="139"/>
      <c r="F11" s="70"/>
      <c r="G11" s="70"/>
      <c r="I11" s="286">
        <f>C4</f>
        <v>0</v>
      </c>
      <c r="J11" s="286">
        <f>$B$11*(MAX(I11-$C$11,0)-$D$11)</f>
        <v>-4</v>
      </c>
      <c r="K11">
        <f>$B$12*(-MAX(I11-$C$12,0)+$D$12)</f>
        <v>3</v>
      </c>
      <c r="L11" s="286">
        <f>J11+K11</f>
        <v>-1</v>
      </c>
    </row>
    <row r="12" spans="1:12">
      <c r="A12" s="72" t="s">
        <v>289</v>
      </c>
      <c r="B12" s="287">
        <v>1</v>
      </c>
      <c r="C12" s="88">
        <v>40</v>
      </c>
      <c r="D12" s="88">
        <v>3</v>
      </c>
      <c r="E12" s="139"/>
      <c r="F12" s="70"/>
      <c r="G12" s="70"/>
      <c r="I12">
        <f>C7</f>
        <v>30</v>
      </c>
      <c r="J12" s="286">
        <f>$B$11*(MAX(I12-$C$11,0)-$D$11)</f>
        <v>-4</v>
      </c>
      <c r="K12">
        <f>$B$12*(-MAX(I12-$C$12,0)+$D$12)</f>
        <v>3</v>
      </c>
      <c r="L12" s="286">
        <f>J12+K12</f>
        <v>-1</v>
      </c>
    </row>
    <row r="13" spans="1:12">
      <c r="A13" s="72"/>
      <c r="B13" s="72"/>
      <c r="C13" s="72"/>
      <c r="D13" s="72"/>
      <c r="E13" s="139"/>
      <c r="F13" s="70"/>
      <c r="G13" s="70"/>
      <c r="I13">
        <f>C8</f>
        <v>40</v>
      </c>
      <c r="J13" s="286">
        <f>$B$11*(MAX(I13-$C$11,0)-$D$11)</f>
        <v>6</v>
      </c>
      <c r="K13">
        <f>$B$12*(-MAX(I13-$C$12,0)+$D$12)</f>
        <v>3</v>
      </c>
      <c r="L13" s="286">
        <f>J13+K13</f>
        <v>9</v>
      </c>
    </row>
    <row r="14" spans="1:12">
      <c r="A14" s="72"/>
      <c r="B14" s="72"/>
      <c r="C14" s="72"/>
      <c r="D14" s="72"/>
      <c r="E14" s="70"/>
      <c r="F14" s="70"/>
      <c r="G14" s="70"/>
      <c r="I14" s="286">
        <f>C5</f>
        <v>60</v>
      </c>
      <c r="J14" s="286">
        <f>$B$11*(MAX(I14-$C$11,0)-$D$11)</f>
        <v>26</v>
      </c>
      <c r="K14">
        <f>$B$12*(-MAX(I14-$C$12,0)+$D$12)</f>
        <v>-17</v>
      </c>
      <c r="L14" s="286">
        <f>J14+K14</f>
        <v>9</v>
      </c>
    </row>
    <row r="15" spans="1:12">
      <c r="A15" s="70"/>
      <c r="B15" s="1"/>
      <c r="C15" s="70"/>
      <c r="D15" s="70"/>
      <c r="E15" s="70"/>
      <c r="F15" s="70"/>
      <c r="G15" s="70"/>
    </row>
    <row r="16" spans="1:12">
      <c r="A16" s="70"/>
      <c r="B16" s="70"/>
      <c r="C16" s="70"/>
      <c r="D16" s="70"/>
      <c r="E16" s="70"/>
      <c r="F16" s="70"/>
      <c r="G16" s="70"/>
    </row>
    <row r="17" spans="1:7">
      <c r="A17" s="70"/>
      <c r="B17" s="70"/>
      <c r="C17" s="70"/>
      <c r="D17" s="70"/>
      <c r="E17" s="70"/>
      <c r="F17" s="70"/>
      <c r="G17" s="70"/>
    </row>
    <row r="51" spans="1:8">
      <c r="A51" t="s">
        <v>228</v>
      </c>
      <c r="E51" t="s">
        <v>234</v>
      </c>
      <c r="H51" t="s">
        <v>12</v>
      </c>
    </row>
  </sheetData>
  <phoneticPr fontId="0" type="noConversion"/>
  <pageMargins left="0.78740157480314965" right="0.78740157480314965" top="0.98425196850393704" bottom="0.98425196850393704" header="0.51181102362204722" footer="0.51181102362204722"/>
  <pageSetup paperSize="9" orientation="landscape" horizontalDpi="4294967292" verticalDpi="300" r:id="rId1"/>
  <headerFooter alignWithMargins="0">
    <oddHeader>&amp;C&amp;F            &amp;A</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B3" sqref="B3"/>
    </sheetView>
  </sheetViews>
  <sheetFormatPr baseColWidth="10" defaultRowHeight="12.75"/>
  <cols>
    <col min="1" max="1" width="22.140625" customWidth="1"/>
  </cols>
  <sheetData>
    <row r="1" spans="1:3">
      <c r="A1" s="71" t="s">
        <v>106</v>
      </c>
      <c r="B1" s="70"/>
      <c r="C1" s="70"/>
    </row>
    <row r="2" spans="1:3">
      <c r="A2" s="70"/>
      <c r="B2" s="70"/>
      <c r="C2" s="70"/>
    </row>
    <row r="3" spans="1:3">
      <c r="A3" s="140" t="s">
        <v>107</v>
      </c>
      <c r="B3" s="141">
        <v>7</v>
      </c>
      <c r="C3" s="70"/>
    </row>
    <row r="4" spans="1:3">
      <c r="A4" s="140" t="s">
        <v>108</v>
      </c>
      <c r="B4" s="141">
        <v>45</v>
      </c>
      <c r="C4" s="70"/>
    </row>
    <row r="5" spans="1:3">
      <c r="A5" s="140" t="s">
        <v>95</v>
      </c>
      <c r="B5" s="141">
        <v>40</v>
      </c>
      <c r="C5" s="70"/>
    </row>
    <row r="6" spans="1:3">
      <c r="A6" s="140" t="s">
        <v>109</v>
      </c>
      <c r="B6" s="142">
        <v>0.5</v>
      </c>
      <c r="C6" s="70"/>
    </row>
    <row r="7" spans="1:3">
      <c r="A7" s="70"/>
      <c r="B7" s="70"/>
      <c r="C7" s="70"/>
    </row>
    <row r="8" spans="1:3">
      <c r="A8" s="71" t="s">
        <v>102</v>
      </c>
      <c r="B8" s="70"/>
      <c r="C8" s="70"/>
    </row>
    <row r="9" spans="1:3">
      <c r="A9" s="140" t="s">
        <v>110</v>
      </c>
      <c r="B9" s="143">
        <f>MAX(0,(Spot-x)*h)</f>
        <v>2.5</v>
      </c>
      <c r="C9" s="70"/>
    </row>
    <row r="10" spans="1:3">
      <c r="A10" s="140" t="s">
        <v>111</v>
      </c>
      <c r="B10" s="144">
        <f>B9/B3</f>
        <v>0.35714285714285715</v>
      </c>
      <c r="C10" s="70"/>
    </row>
    <row r="11" spans="1:3">
      <c r="A11" s="140" t="s">
        <v>112</v>
      </c>
      <c r="B11" s="143">
        <f>_C-B9</f>
        <v>4.5</v>
      </c>
      <c r="C11" s="70"/>
    </row>
    <row r="12" spans="1:3">
      <c r="A12" s="140" t="s">
        <v>113</v>
      </c>
      <c r="B12" s="144">
        <f>(_C-B9)/(Spot*h)</f>
        <v>0.2</v>
      </c>
      <c r="C12" s="70"/>
    </row>
    <row r="13" spans="1:3">
      <c r="A13" s="140" t="s">
        <v>114</v>
      </c>
      <c r="B13" s="145">
        <f>Spot*h/_C</f>
        <v>3.2142857142857144</v>
      </c>
      <c r="C13" s="70"/>
    </row>
    <row r="14" spans="1:3">
      <c r="A14" s="140" t="s">
        <v>105</v>
      </c>
      <c r="B14" s="143">
        <f>x+_C/h</f>
        <v>54</v>
      </c>
      <c r="C14" s="70"/>
    </row>
    <row r="15" spans="1:3">
      <c r="A15" s="70"/>
      <c r="B15" s="70"/>
      <c r="C15" s="70"/>
    </row>
  </sheetData>
  <phoneticPr fontId="15" type="noConversion"/>
  <printOptions gridLines="1" gridLinesSet="0"/>
  <pageMargins left="0.78740157499999996" right="0.78740157499999996" top="0.984251969" bottom="0.984251969" header="0.51181102300000003" footer="0.51181102300000003"/>
  <pageSetup paperSize="9" orientation="portrait" horizontalDpi="4294967292" verticalDpi="0" r:id="rId1"/>
  <headerFooter alignWithMargins="0">
    <oddHeader>&amp;A</oddHeader>
    <oddFooter>Seite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B4" sqref="B4"/>
    </sheetView>
  </sheetViews>
  <sheetFormatPr baseColWidth="10" defaultRowHeight="12.75"/>
  <cols>
    <col min="1" max="1" width="36.28515625" customWidth="1"/>
    <col min="2" max="2" width="13.140625" customWidth="1"/>
    <col min="3" max="3" width="5" customWidth="1"/>
    <col min="5" max="5" width="4.7109375" customWidth="1"/>
    <col min="7" max="7" width="7.140625" customWidth="1"/>
  </cols>
  <sheetData>
    <row r="1" spans="1:8">
      <c r="A1" s="71" t="s">
        <v>123</v>
      </c>
      <c r="B1" s="70"/>
      <c r="C1" s="70"/>
      <c r="D1" s="70"/>
      <c r="E1" s="70"/>
      <c r="F1" s="70"/>
      <c r="G1" s="70"/>
      <c r="H1" s="70"/>
    </row>
    <row r="2" spans="1:8">
      <c r="A2" s="71" t="s">
        <v>124</v>
      </c>
      <c r="B2" s="70"/>
      <c r="C2" s="70"/>
      <c r="D2" s="70"/>
      <c r="E2" s="70"/>
      <c r="F2" s="70"/>
      <c r="G2" s="70"/>
      <c r="H2" s="70"/>
    </row>
    <row r="3" spans="1:8">
      <c r="A3" s="70"/>
      <c r="B3" s="70"/>
      <c r="C3" s="70"/>
      <c r="D3" s="70"/>
      <c r="E3" s="70"/>
      <c r="F3" s="70"/>
      <c r="G3" s="70"/>
      <c r="H3" s="70"/>
    </row>
    <row r="4" spans="1:8">
      <c r="A4" s="72" t="s">
        <v>125</v>
      </c>
      <c r="B4" s="88">
        <v>50</v>
      </c>
      <c r="C4" s="70"/>
      <c r="D4" s="155"/>
      <c r="E4" s="155"/>
      <c r="F4" s="70"/>
      <c r="G4" s="70"/>
      <c r="H4" s="70"/>
    </row>
    <row r="5" spans="1:8">
      <c r="A5" s="72" t="s">
        <v>126</v>
      </c>
      <c r="B5" s="88">
        <v>40</v>
      </c>
      <c r="C5" s="156" t="s">
        <v>127</v>
      </c>
      <c r="D5" s="88">
        <v>60</v>
      </c>
      <c r="E5" s="155"/>
      <c r="F5" s="70"/>
      <c r="G5" s="70"/>
      <c r="H5" s="70"/>
    </row>
    <row r="6" spans="1:8">
      <c r="A6" s="72" t="s">
        <v>128</v>
      </c>
      <c r="B6" s="83">
        <f>B5/B4-1</f>
        <v>-0.19999999999999996</v>
      </c>
      <c r="C6" s="70"/>
      <c r="D6" s="83">
        <f>D5/B4-1</f>
        <v>0.19999999999999996</v>
      </c>
      <c r="E6" s="70" t="s">
        <v>129</v>
      </c>
      <c r="F6" s="70"/>
      <c r="G6" s="70"/>
      <c r="H6" s="70"/>
    </row>
    <row r="7" spans="1:8">
      <c r="A7" s="72"/>
      <c r="B7" s="70"/>
      <c r="C7" s="70"/>
      <c r="D7" s="70"/>
      <c r="E7" s="70"/>
      <c r="F7" s="70"/>
      <c r="G7" s="70"/>
      <c r="H7" s="70"/>
    </row>
    <row r="8" spans="1:8">
      <c r="A8" s="72" t="s">
        <v>130</v>
      </c>
      <c r="B8" s="157">
        <v>0.05</v>
      </c>
      <c r="C8" s="70" t="s">
        <v>131</v>
      </c>
      <c r="D8" s="70"/>
      <c r="E8" s="70"/>
      <c r="F8" s="70"/>
      <c r="G8" s="70"/>
      <c r="H8" s="70"/>
    </row>
    <row r="9" spans="1:8">
      <c r="A9" s="72" t="s">
        <v>132</v>
      </c>
      <c r="B9" s="88">
        <v>50</v>
      </c>
      <c r="C9" s="70"/>
      <c r="D9" s="70"/>
      <c r="E9" s="70"/>
      <c r="F9" s="70"/>
      <c r="G9" s="70"/>
      <c r="H9" s="70"/>
    </row>
    <row r="10" spans="1:8">
      <c r="A10" s="72"/>
      <c r="B10" s="70"/>
      <c r="C10" s="70"/>
      <c r="D10" s="158" t="s">
        <v>133</v>
      </c>
      <c r="E10" s="159"/>
      <c r="F10" s="159"/>
      <c r="G10" s="160"/>
      <c r="H10" s="70"/>
    </row>
    <row r="11" spans="1:8">
      <c r="A11" s="72" t="s">
        <v>134</v>
      </c>
      <c r="B11" s="377">
        <f>(((1+B8)-B5/B4)/(D5/B4-B5/B4)*(F11-D11)+D11)/(1+B8)</f>
        <v>5.9523809523809526</v>
      </c>
      <c r="C11" s="70"/>
      <c r="D11" s="161">
        <f>MAX(0,B5-B9)</f>
        <v>0</v>
      </c>
      <c r="E11" s="162" t="s">
        <v>135</v>
      </c>
      <c r="F11" s="162">
        <f>MAX(0,D5-B9)</f>
        <v>10</v>
      </c>
      <c r="G11" s="163"/>
      <c r="H11" s="70"/>
    </row>
    <row r="12" spans="1:8">
      <c r="A12" s="72" t="s">
        <v>136</v>
      </c>
      <c r="B12" s="377">
        <f>B11+B9/(1+B8)-B4</f>
        <v>3.5714285714285694</v>
      </c>
      <c r="C12" s="70"/>
      <c r="D12" s="164" t="s">
        <v>137</v>
      </c>
      <c r="E12" s="165"/>
      <c r="F12" s="165"/>
      <c r="G12" s="163"/>
      <c r="H12" s="70"/>
    </row>
    <row r="13" spans="1:8">
      <c r="A13" s="72" t="s">
        <v>138</v>
      </c>
      <c r="B13" s="70"/>
      <c r="C13" s="70"/>
      <c r="D13" s="166">
        <f>B5</f>
        <v>40</v>
      </c>
      <c r="E13" s="167" t="s">
        <v>135</v>
      </c>
      <c r="F13" s="167">
        <f>D5</f>
        <v>60</v>
      </c>
      <c r="G13" s="168" t="s">
        <v>139</v>
      </c>
      <c r="H13" s="70"/>
    </row>
    <row r="14" spans="1:8">
      <c r="A14" s="70"/>
      <c r="B14" s="70"/>
      <c r="C14" s="70"/>
      <c r="D14" s="70"/>
      <c r="E14" s="70"/>
      <c r="F14" s="70"/>
      <c r="G14" s="70"/>
      <c r="H14" s="70"/>
    </row>
    <row r="15" spans="1:8">
      <c r="A15" s="169" t="s">
        <v>126</v>
      </c>
      <c r="B15" s="167">
        <v>40</v>
      </c>
      <c r="C15" s="170" t="s">
        <v>127</v>
      </c>
      <c r="D15" s="167">
        <v>60</v>
      </c>
      <c r="E15" s="155"/>
      <c r="F15" s="70"/>
      <c r="G15" s="70"/>
      <c r="H15" s="70"/>
    </row>
    <row r="16" spans="1:8">
      <c r="A16" s="70" t="s">
        <v>140</v>
      </c>
      <c r="B16" s="171">
        <f>((1+B8)*B4-D5)/(B5-D5)</f>
        <v>0.375</v>
      </c>
      <c r="C16" s="70" t="s">
        <v>135</v>
      </c>
      <c r="D16" s="171">
        <f>1-B16</f>
        <v>0.625</v>
      </c>
      <c r="E16" s="70"/>
      <c r="F16" s="70" t="s">
        <v>141</v>
      </c>
      <c r="G16" s="70"/>
      <c r="H16" s="70"/>
    </row>
    <row r="17" spans="1:8">
      <c r="A17" s="70" t="s">
        <v>466</v>
      </c>
      <c r="B17" s="155">
        <f>(B16*$D$11+D16*$F$11)/(1+$B$8)</f>
        <v>5.9523809523809526</v>
      </c>
      <c r="C17" s="70"/>
      <c r="D17" s="70" t="s">
        <v>142</v>
      </c>
      <c r="E17" s="70"/>
      <c r="F17" s="70"/>
      <c r="G17" s="70"/>
      <c r="H17" s="70"/>
    </row>
    <row r="18" spans="1:8">
      <c r="A18" s="70"/>
      <c r="B18" s="70"/>
      <c r="C18" s="70"/>
      <c r="D18" s="70"/>
      <c r="E18" s="70"/>
      <c r="F18" s="70"/>
      <c r="G18" s="70"/>
      <c r="H18" s="70"/>
    </row>
    <row r="19" spans="1:8">
      <c r="A19" s="169" t="str">
        <f>A15</f>
        <v>Möglicher zukünftiger Kurs</v>
      </c>
      <c r="B19" s="169">
        <f>B15</f>
        <v>40</v>
      </c>
      <c r="C19" s="169" t="str">
        <f>C15</f>
        <v>oder</v>
      </c>
      <c r="D19" s="169">
        <f>D15</f>
        <v>60</v>
      </c>
      <c r="E19" s="70"/>
      <c r="F19" s="70"/>
      <c r="G19" s="70"/>
      <c r="H19" s="70"/>
    </row>
    <row r="20" spans="1:8">
      <c r="A20" s="70" t="s">
        <v>143</v>
      </c>
      <c r="B20" s="172">
        <f>1/2</f>
        <v>0.5</v>
      </c>
      <c r="C20" s="70" t="s">
        <v>135</v>
      </c>
      <c r="D20" s="171">
        <f>1-B20</f>
        <v>0.5</v>
      </c>
      <c r="E20" s="70"/>
      <c r="F20" s="70" t="s">
        <v>144</v>
      </c>
      <c r="G20" s="70"/>
      <c r="H20" s="70"/>
    </row>
    <row r="21" spans="1:8">
      <c r="A21" s="70" t="str">
        <f>A17</f>
        <v>Preis der Call-Option (berechnet mit Ws.):</v>
      </c>
      <c r="B21" s="155">
        <f>(B20*$D$11+D20*$F$11)/(1+$B$8)</f>
        <v>4.7619047619047619</v>
      </c>
      <c r="C21" s="70" t="s">
        <v>465</v>
      </c>
      <c r="D21" s="70"/>
      <c r="E21" s="70"/>
      <c r="F21" s="70"/>
      <c r="G21" s="70"/>
      <c r="H21" s="70"/>
    </row>
    <row r="22" spans="1:8">
      <c r="A22" s="70"/>
      <c r="B22" s="70"/>
      <c r="C22" s="70"/>
      <c r="D22" s="70"/>
      <c r="E22" s="70"/>
      <c r="F22" s="70"/>
      <c r="G22" s="70"/>
      <c r="H22" s="70"/>
    </row>
  </sheetData>
  <phoneticPr fontId="0" type="noConversion"/>
  <pageMargins left="0.78740157499999996" right="0.78740157499999996" top="0.984251969" bottom="0.984251969" header="0.4921259845" footer="0.4921259845"/>
  <pageSetup paperSize="9" orientation="portrait" horizontalDpi="300" verticalDpi="300" r:id="rId1"/>
  <headerFooter alignWithMargins="0">
    <oddHeader>&amp;A</oddHeader>
    <oddFooter>Seite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I27"/>
  <sheetViews>
    <sheetView workbookViewId="0">
      <selection activeCell="B3" sqref="B3"/>
    </sheetView>
  </sheetViews>
  <sheetFormatPr baseColWidth="10" defaultRowHeight="12.75"/>
  <cols>
    <col min="3" max="3" width="8.85546875" customWidth="1"/>
    <col min="5" max="5" width="7.28515625" customWidth="1"/>
    <col min="6" max="6" width="11.5703125" bestFit="1" customWidth="1"/>
    <col min="7" max="7" width="7.5703125" customWidth="1"/>
    <col min="9" max="9" width="5.42578125" customWidth="1"/>
  </cols>
  <sheetData>
    <row r="1" spans="1:9">
      <c r="A1" s="84" t="s">
        <v>533</v>
      </c>
      <c r="B1" s="70"/>
      <c r="C1" s="70"/>
      <c r="D1" s="70"/>
      <c r="E1" s="70"/>
      <c r="F1" s="70"/>
      <c r="G1" s="70"/>
      <c r="H1" s="70"/>
      <c r="I1" s="70"/>
    </row>
    <row r="2" spans="1:9">
      <c r="A2" s="410" t="s">
        <v>512</v>
      </c>
      <c r="B2" s="448" t="s">
        <v>100</v>
      </c>
      <c r="C2" s="70"/>
      <c r="D2" s="70"/>
      <c r="E2" s="70"/>
      <c r="F2" s="70"/>
      <c r="G2" s="70"/>
      <c r="H2" s="70"/>
      <c r="I2" s="70"/>
    </row>
    <row r="3" spans="1:9" ht="14.25">
      <c r="A3" s="372" t="s">
        <v>268</v>
      </c>
      <c r="B3" s="150">
        <v>15</v>
      </c>
      <c r="C3" s="70"/>
      <c r="D3" s="70"/>
      <c r="E3" s="70"/>
      <c r="F3" s="70"/>
      <c r="G3" s="70"/>
      <c r="H3" s="409">
        <f>F6*$B$4</f>
        <v>19.965000000000003</v>
      </c>
      <c r="I3" s="70"/>
    </row>
    <row r="4" spans="1:9" ht="14.25">
      <c r="A4" s="372" t="s">
        <v>446</v>
      </c>
      <c r="B4" s="150">
        <v>1.1000000000000001</v>
      </c>
      <c r="C4" s="70"/>
      <c r="D4" s="70"/>
      <c r="E4" s="70"/>
      <c r="F4" s="70"/>
      <c r="G4" s="156" t="s">
        <v>444</v>
      </c>
      <c r="H4" s="410">
        <f>IF($B$2="Call",IF(H3-$B$6&gt;0,H3-$B$6,0),IF(H3-$B$6&lt;0,-H3+$B$6,0))</f>
        <v>3.9650000000000034</v>
      </c>
      <c r="I4" s="70"/>
    </row>
    <row r="5" spans="1:9" ht="14.25">
      <c r="A5" s="372" t="s">
        <v>218</v>
      </c>
      <c r="B5" s="150">
        <v>0.9</v>
      </c>
      <c r="C5" s="70"/>
      <c r="D5" s="70"/>
      <c r="E5" s="70"/>
      <c r="F5" s="70"/>
      <c r="G5" s="411">
        <f>E8</f>
        <v>0.56136117214519643</v>
      </c>
      <c r="H5" s="156"/>
      <c r="I5" s="70"/>
    </row>
    <row r="6" spans="1:9">
      <c r="A6" s="373" t="s">
        <v>95</v>
      </c>
      <c r="B6" s="150">
        <f>'Beisp. 10.4.8'!B3</f>
        <v>16</v>
      </c>
      <c r="C6" s="70"/>
      <c r="D6" s="70"/>
      <c r="E6" s="70"/>
      <c r="F6" s="412">
        <f>D9*$B$4</f>
        <v>18.150000000000002</v>
      </c>
      <c r="G6" s="156"/>
      <c r="H6" s="156"/>
      <c r="I6" s="70"/>
    </row>
    <row r="7" spans="1:9">
      <c r="A7" s="374" t="s">
        <v>480</v>
      </c>
      <c r="B7" s="142">
        <f>'Beisp. 10.4.8'!B6</f>
        <v>0.75</v>
      </c>
      <c r="C7" s="70"/>
      <c r="D7" s="70"/>
      <c r="E7" s="156" t="s">
        <v>444</v>
      </c>
      <c r="F7" s="413">
        <f>(H4*G5+H10*G8)/(1+$G$26)</f>
        <v>2.3439752412308184</v>
      </c>
      <c r="G7" s="156"/>
      <c r="H7" s="156"/>
      <c r="I7" s="70"/>
    </row>
    <row r="8" spans="1:9">
      <c r="A8" s="374" t="s">
        <v>11</v>
      </c>
      <c r="B8" s="290">
        <f>'Beisp. 10.4.8'!B4</f>
        <v>0.05</v>
      </c>
      <c r="C8" s="70"/>
      <c r="D8" s="70"/>
      <c r="E8" s="411">
        <f>C11</f>
        <v>0.56136117214519643</v>
      </c>
      <c r="F8" s="156"/>
      <c r="G8" s="411">
        <f>1-G5</f>
        <v>0.43863882785480357</v>
      </c>
      <c r="H8" s="156"/>
      <c r="I8" s="70"/>
    </row>
    <row r="9" spans="1:9">
      <c r="A9" s="70"/>
      <c r="B9" s="70"/>
      <c r="C9" s="70"/>
      <c r="D9" s="412">
        <f>B12*$B$4</f>
        <v>16.5</v>
      </c>
      <c r="E9" s="156"/>
      <c r="F9" s="156"/>
      <c r="G9" s="156"/>
      <c r="H9" s="409">
        <f>F12*$B$4</f>
        <v>16.335000000000004</v>
      </c>
      <c r="I9" s="70"/>
    </row>
    <row r="10" spans="1:9">
      <c r="A10" s="70"/>
      <c r="B10" s="70"/>
      <c r="C10" s="156" t="s">
        <v>444</v>
      </c>
      <c r="D10" s="413">
        <f>(F7*E8+F13*E11)/(1+$G$26)</f>
        <v>1.3803651371708521</v>
      </c>
      <c r="E10" s="156"/>
      <c r="F10" s="156"/>
      <c r="G10" s="156"/>
      <c r="H10" s="410">
        <f>IF($B$2="Call",IF(H9-$B$6&gt;0,H9-$B$6,0),IF(H9-$B$6&lt;0,-H9+$B$6,0))</f>
        <v>0.33500000000000441</v>
      </c>
      <c r="I10" s="70"/>
    </row>
    <row r="11" spans="1:9">
      <c r="A11" s="70"/>
      <c r="B11" s="70"/>
      <c r="C11" s="414">
        <f>((1+B8)^(B7/3)-$B$5)/($B$4-$B$5)</f>
        <v>0.56136117214519643</v>
      </c>
      <c r="D11" s="156"/>
      <c r="E11" s="411">
        <f>1-E8</f>
        <v>0.43863882785480357</v>
      </c>
      <c r="F11" s="156"/>
      <c r="G11" s="411">
        <f>C11</f>
        <v>0.56136117214519643</v>
      </c>
      <c r="H11" s="156"/>
      <c r="I11" s="70"/>
    </row>
    <row r="12" spans="1:9">
      <c r="A12" s="415" t="s">
        <v>96</v>
      </c>
      <c r="B12" s="412">
        <f>B3</f>
        <v>15</v>
      </c>
      <c r="C12" s="70"/>
      <c r="D12" s="156"/>
      <c r="E12" s="156"/>
      <c r="F12" s="412">
        <f>D15*$B$4</f>
        <v>14.850000000000001</v>
      </c>
      <c r="G12" s="156"/>
      <c r="H12" s="156"/>
      <c r="I12" s="70"/>
    </row>
    <row r="13" spans="1:9">
      <c r="A13" s="72" t="s">
        <v>94</v>
      </c>
      <c r="B13" s="413">
        <f>(D10*C11+D16*C14)/(1+$G$26)</f>
        <v>0.81013123240554741</v>
      </c>
      <c r="C13" s="70"/>
      <c r="D13" s="156"/>
      <c r="E13" s="156"/>
      <c r="F13" s="413">
        <f>(H10*G11+H16*G14)/(1+$G$26)</f>
        <v>0.18577610475971826</v>
      </c>
      <c r="G13" s="156"/>
      <c r="H13" s="156"/>
      <c r="I13" s="70"/>
    </row>
    <row r="14" spans="1:9">
      <c r="A14" s="70"/>
      <c r="B14" s="70"/>
      <c r="C14" s="414">
        <f>1-C11</f>
        <v>0.43863882785480357</v>
      </c>
      <c r="D14" s="156"/>
      <c r="E14" s="411">
        <f>C11</f>
        <v>0.56136117214519643</v>
      </c>
      <c r="F14" s="156"/>
      <c r="G14" s="411">
        <f>1-G11</f>
        <v>0.43863882785480357</v>
      </c>
      <c r="H14" s="156"/>
      <c r="I14" s="70"/>
    </row>
    <row r="15" spans="1:9">
      <c r="A15" s="70"/>
      <c r="B15" s="70"/>
      <c r="C15" s="156" t="s">
        <v>445</v>
      </c>
      <c r="D15" s="412">
        <f>B12*$B$5</f>
        <v>13.5</v>
      </c>
      <c r="E15" s="156"/>
      <c r="F15" s="156"/>
      <c r="G15" s="156"/>
      <c r="H15" s="416">
        <f>F18*B4</f>
        <v>13.365000000000002</v>
      </c>
      <c r="I15" s="70"/>
    </row>
    <row r="16" spans="1:9">
      <c r="A16" s="70"/>
      <c r="B16" s="70"/>
      <c r="C16" s="70"/>
      <c r="D16" s="413">
        <f>(F13*E14+F19*E17)/(1+$G$26)</f>
        <v>0.10302316746177122</v>
      </c>
      <c r="E16" s="156"/>
      <c r="F16" s="156"/>
      <c r="G16" s="156"/>
      <c r="H16" s="413">
        <f>IF($B$2="Call",IF(H15-$B$6&gt;0,H15-$B$6,0),IF(H15-$B$6&lt;0,-H15+$B$6,0))</f>
        <v>0</v>
      </c>
      <c r="I16" s="70"/>
    </row>
    <row r="17" spans="1:9">
      <c r="A17" s="70"/>
      <c r="B17" s="70"/>
      <c r="C17" s="70"/>
      <c r="D17" s="70"/>
      <c r="E17" s="411">
        <f>1-E14</f>
        <v>0.43863882785480357</v>
      </c>
      <c r="F17" s="156"/>
      <c r="G17" s="411">
        <f>C11</f>
        <v>0.56136117214519643</v>
      </c>
      <c r="H17" s="156"/>
      <c r="I17" s="70"/>
    </row>
    <row r="18" spans="1:9">
      <c r="A18" s="70"/>
      <c r="B18" s="70"/>
      <c r="C18" s="70"/>
      <c r="D18" s="70"/>
      <c r="E18" s="156" t="str">
        <f>C15</f>
        <v>1-p</v>
      </c>
      <c r="F18" s="416">
        <f>D15*$B$5</f>
        <v>12.15</v>
      </c>
      <c r="G18" s="156"/>
      <c r="H18" s="156"/>
      <c r="I18" s="70"/>
    </row>
    <row r="19" spans="1:9">
      <c r="A19" s="70"/>
      <c r="B19" s="70"/>
      <c r="C19" s="70"/>
      <c r="D19" s="70"/>
      <c r="E19" s="70"/>
      <c r="F19" s="413">
        <f>(H16*G17+H22*G20)/(1+$G$26)</f>
        <v>0</v>
      </c>
      <c r="G19" s="156"/>
      <c r="H19" s="156"/>
      <c r="I19" s="70"/>
    </row>
    <row r="20" spans="1:9">
      <c r="A20" s="70"/>
      <c r="B20" s="70"/>
      <c r="C20" s="70"/>
      <c r="D20" s="70"/>
      <c r="E20" s="70"/>
      <c r="F20" s="70"/>
      <c r="G20" s="411">
        <f>1-G17</f>
        <v>0.43863882785480357</v>
      </c>
      <c r="H20" s="156"/>
      <c r="I20" s="70"/>
    </row>
    <row r="21" spans="1:9">
      <c r="A21" s="70"/>
      <c r="B21" s="70"/>
      <c r="C21" s="70"/>
      <c r="D21" s="70"/>
      <c r="E21" s="70"/>
      <c r="F21" s="70"/>
      <c r="G21" s="156" t="str">
        <f>E18</f>
        <v>1-p</v>
      </c>
      <c r="H21" s="416">
        <f>F18*$B$5</f>
        <v>10.935</v>
      </c>
      <c r="I21" s="70"/>
    </row>
    <row r="22" spans="1:9">
      <c r="A22" s="70"/>
      <c r="B22" s="70"/>
      <c r="C22" s="70"/>
      <c r="D22" s="70"/>
      <c r="E22" s="70"/>
      <c r="F22" s="70"/>
      <c r="G22" s="70"/>
      <c r="H22" s="413">
        <f>IF($B$2="Call",IF(H21-$B$6&gt;0,H21-$B$6,0),IF(H21-$B$6&lt;0,-H21+$B$6,0))</f>
        <v>0</v>
      </c>
      <c r="I22" s="70"/>
    </row>
    <row r="23" spans="1:9">
      <c r="A23" s="70"/>
      <c r="B23" s="70"/>
      <c r="C23" s="70"/>
      <c r="D23" s="70"/>
      <c r="E23" s="70"/>
      <c r="F23" s="70"/>
      <c r="G23" s="70"/>
      <c r="H23" s="70"/>
      <c r="I23" s="70"/>
    </row>
    <row r="24" spans="1:9">
      <c r="A24" s="234" t="s">
        <v>36</v>
      </c>
      <c r="B24" s="375">
        <v>0</v>
      </c>
      <c r="C24" s="13"/>
      <c r="D24" s="375">
        <f>H24/3</f>
        <v>0.25</v>
      </c>
      <c r="E24" s="13"/>
      <c r="F24" s="375">
        <f>D24+D24</f>
        <v>0.5</v>
      </c>
      <c r="G24" s="13"/>
      <c r="H24" s="376">
        <f>B7</f>
        <v>0.75</v>
      </c>
      <c r="I24" s="70"/>
    </row>
    <row r="25" spans="1:9">
      <c r="A25" s="70"/>
      <c r="B25" s="70"/>
      <c r="C25" s="70"/>
      <c r="D25" s="70"/>
      <c r="E25" s="70"/>
      <c r="F25" s="70"/>
      <c r="G25" s="70"/>
      <c r="H25" s="70"/>
      <c r="I25" s="70"/>
    </row>
    <row r="26" spans="1:9">
      <c r="A26" s="70" t="s">
        <v>447</v>
      </c>
      <c r="B26" s="70"/>
      <c r="C26" s="244">
        <f>(1+$B$8)^($B$7/3)-1</f>
        <v>1.2272234429039353E-2</v>
      </c>
      <c r="D26" s="83"/>
      <c r="E26" s="244">
        <f>(1+$B$8)^($B$7/3)-1</f>
        <v>1.2272234429039353E-2</v>
      </c>
      <c r="F26" s="83"/>
      <c r="G26" s="244">
        <f>(1+$B$8)^($B$7/3)-1</f>
        <v>1.2272234429039353E-2</v>
      </c>
      <c r="H26" s="70"/>
      <c r="I26" s="70"/>
    </row>
    <row r="27" spans="1:9">
      <c r="A27" s="83"/>
      <c r="B27" s="83"/>
      <c r="C27" s="83"/>
      <c r="D27" s="83"/>
      <c r="E27" s="83"/>
      <c r="F27" s="83"/>
      <c r="G27" s="83"/>
      <c r="H27" s="83"/>
      <c r="I27" s="83"/>
    </row>
  </sheetData>
  <phoneticPr fontId="0" type="noConversion"/>
  <dataValidations count="1">
    <dataValidation type="list" allowBlank="1" showInputMessage="1" showErrorMessage="1" sqref="B2">
      <formula1>"Put,Call"</formula1>
    </dataValidation>
  </dataValidations>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P73"/>
  <sheetViews>
    <sheetView workbookViewId="0">
      <selection activeCell="C1" sqref="C1"/>
    </sheetView>
  </sheetViews>
  <sheetFormatPr baseColWidth="10" defaultRowHeight="15"/>
  <cols>
    <col min="1" max="1" width="9.7109375" customWidth="1"/>
    <col min="2" max="2" width="14.140625" style="370" customWidth="1"/>
    <col min="4" max="4" width="5.28515625" customWidth="1"/>
    <col min="5" max="5" width="12" customWidth="1"/>
    <col min="6" max="6" width="6.28515625" customWidth="1"/>
    <col min="8" max="8" width="7" customWidth="1"/>
    <col min="10" max="10" width="7.28515625" customWidth="1"/>
    <col min="12" max="12" width="7.5703125" customWidth="1"/>
    <col min="16" max="16" width="11.42578125" style="364"/>
  </cols>
  <sheetData>
    <row r="1" spans="1:15">
      <c r="A1" s="70"/>
      <c r="B1" s="399" t="s">
        <v>462</v>
      </c>
      <c r="C1" s="153">
        <v>100</v>
      </c>
      <c r="D1" s="70"/>
      <c r="E1" s="70"/>
      <c r="F1" s="70"/>
      <c r="G1" s="70"/>
      <c r="H1" s="70"/>
      <c r="I1" s="70"/>
      <c r="J1" s="70"/>
      <c r="K1" s="70"/>
      <c r="L1" s="70"/>
      <c r="M1" s="398">
        <f>C2^5*C1</f>
        <v>161.05100000000004</v>
      </c>
      <c r="N1" s="70"/>
      <c r="O1" s="70"/>
    </row>
    <row r="2" spans="1:15">
      <c r="A2" s="70"/>
      <c r="B2" s="399" t="s">
        <v>410</v>
      </c>
      <c r="C2" s="150">
        <v>1.1000000000000001</v>
      </c>
      <c r="D2" s="70"/>
      <c r="E2" s="70"/>
      <c r="F2" s="70"/>
      <c r="G2" s="70"/>
      <c r="H2" s="70"/>
      <c r="I2" s="70"/>
      <c r="J2" s="70"/>
      <c r="K2" s="70"/>
      <c r="L2" s="70"/>
      <c r="M2" s="371">
        <f>IF(M1-$C$4&gt;0,M1-$C$4,0)</f>
        <v>71.051000000000045</v>
      </c>
      <c r="N2" s="70"/>
      <c r="O2" s="70"/>
    </row>
    <row r="3" spans="1:15">
      <c r="A3" s="70"/>
      <c r="B3" s="399" t="s">
        <v>411</v>
      </c>
      <c r="C3" s="150">
        <v>0.95</v>
      </c>
      <c r="D3" s="70"/>
      <c r="E3" s="70"/>
      <c r="F3" s="70"/>
      <c r="G3" s="70"/>
      <c r="H3" s="70"/>
      <c r="I3" s="70"/>
      <c r="J3" s="70"/>
      <c r="K3" s="70"/>
      <c r="L3" s="140">
        <f>((1+K35)*K4-M7)/(M1-M7)</f>
        <v>0.66666666666666796</v>
      </c>
      <c r="M3" s="70"/>
      <c r="N3" s="70"/>
      <c r="O3" s="70"/>
    </row>
    <row r="4" spans="1:15" ht="12.75">
      <c r="A4" s="70"/>
      <c r="B4" s="400" t="s">
        <v>412</v>
      </c>
      <c r="C4" s="153">
        <v>90</v>
      </c>
      <c r="D4" s="70"/>
      <c r="E4" s="70"/>
      <c r="F4" s="70"/>
      <c r="G4" s="70"/>
      <c r="H4" s="70"/>
      <c r="I4" s="70"/>
      <c r="J4" s="70"/>
      <c r="K4" s="397">
        <f>C2^4*C1</f>
        <v>146.41000000000005</v>
      </c>
      <c r="L4" s="70"/>
      <c r="M4" s="70"/>
      <c r="N4" s="70"/>
      <c r="O4" s="70"/>
    </row>
    <row r="5" spans="1:15" ht="12.75">
      <c r="A5" s="70"/>
      <c r="B5" s="147" t="s">
        <v>413</v>
      </c>
      <c r="C5" s="70"/>
      <c r="D5" s="70"/>
      <c r="E5" s="70"/>
      <c r="F5" s="70"/>
      <c r="G5" s="70"/>
      <c r="H5" s="70"/>
      <c r="I5" s="70"/>
      <c r="J5" s="70"/>
      <c r="K5" s="371">
        <f>(L3*M2+L6*M8)/$K$36</f>
        <v>60.695714285714345</v>
      </c>
      <c r="L5" s="70"/>
      <c r="M5" s="70"/>
      <c r="N5" s="70"/>
      <c r="O5" s="70"/>
    </row>
    <row r="6" spans="1:15" ht="12.75">
      <c r="A6" s="70"/>
      <c r="B6" s="378" t="s">
        <v>414</v>
      </c>
      <c r="C6" s="70"/>
      <c r="D6" s="70"/>
      <c r="E6" s="70"/>
      <c r="F6" s="70"/>
      <c r="G6" s="70"/>
      <c r="H6" s="70"/>
      <c r="I6" s="70"/>
      <c r="J6" s="140">
        <f>((1+I35)*I7-K10)/(K4-K10)</f>
        <v>0.60000000000000087</v>
      </c>
      <c r="K6" s="70"/>
      <c r="L6" s="140">
        <f>1-L3</f>
        <v>0.33333333333333204</v>
      </c>
      <c r="M6" s="70"/>
      <c r="N6" s="70"/>
      <c r="O6" s="70"/>
    </row>
    <row r="7" spans="1:15">
      <c r="A7" s="70"/>
      <c r="B7" s="379"/>
      <c r="C7" s="70"/>
      <c r="D7" s="70"/>
      <c r="E7" s="70"/>
      <c r="F7" s="70"/>
      <c r="G7" s="70"/>
      <c r="H7" s="70"/>
      <c r="I7" s="397">
        <f>C2^3*C1</f>
        <v>133.10000000000005</v>
      </c>
      <c r="J7" s="70"/>
      <c r="K7" s="70"/>
      <c r="L7" s="70"/>
      <c r="M7" s="397">
        <f>C2^4*C3*C1</f>
        <v>139.08950000000002</v>
      </c>
      <c r="N7" s="70"/>
      <c r="O7" s="70"/>
    </row>
    <row r="8" spans="1:15">
      <c r="A8" s="70"/>
      <c r="B8" s="379"/>
      <c r="C8" s="70"/>
      <c r="D8" s="70"/>
      <c r="E8" s="70"/>
      <c r="F8" s="70"/>
      <c r="G8" s="70"/>
      <c r="H8" s="70"/>
      <c r="I8" s="371">
        <f>(J6*K5+J9*K11)/$I$36</f>
        <v>50.682417582417649</v>
      </c>
      <c r="J8" s="70"/>
      <c r="K8" s="70"/>
      <c r="L8" s="70"/>
      <c r="M8" s="371">
        <f>IF(M7-$C$4&gt;0,M7-$C$4,0)</f>
        <v>49.089500000000015</v>
      </c>
      <c r="N8" s="70"/>
      <c r="O8" s="70"/>
    </row>
    <row r="9" spans="1:15">
      <c r="A9" s="70"/>
      <c r="B9" s="379"/>
      <c r="C9" s="70"/>
      <c r="D9" s="70"/>
      <c r="E9" s="70"/>
      <c r="F9" s="70"/>
      <c r="G9" s="70"/>
      <c r="H9" s="140">
        <f>((1+G35)*G10-I13)/(I7-I13)</f>
        <v>0.53333333333333266</v>
      </c>
      <c r="I9" s="70"/>
      <c r="J9" s="140">
        <f>1-J6</f>
        <v>0.39999999999999913</v>
      </c>
      <c r="K9" s="70"/>
      <c r="L9" s="140">
        <f>((1+K35)*K10-M13)/(M7-M13)</f>
        <v>0.66666666666666796</v>
      </c>
      <c r="M9" s="70"/>
      <c r="N9" s="70"/>
      <c r="O9" s="70"/>
    </row>
    <row r="10" spans="1:15">
      <c r="A10" s="70"/>
      <c r="B10" s="379"/>
      <c r="C10" s="70"/>
      <c r="D10" s="70"/>
      <c r="E10" s="70"/>
      <c r="F10" s="70"/>
      <c r="G10" s="397">
        <f>C2^2*C1</f>
        <v>121.00000000000001</v>
      </c>
      <c r="H10" s="70"/>
      <c r="I10" s="70"/>
      <c r="J10" s="70"/>
      <c r="K10" s="397">
        <f>C2^3*C1*C3</f>
        <v>126.44500000000004</v>
      </c>
      <c r="L10" s="70"/>
      <c r="M10" s="70"/>
      <c r="N10" s="70"/>
      <c r="O10" s="70"/>
    </row>
    <row r="11" spans="1:15">
      <c r="A11" s="70"/>
      <c r="B11" s="379"/>
      <c r="C11" s="70"/>
      <c r="D11" s="70"/>
      <c r="E11" s="70"/>
      <c r="F11" s="70"/>
      <c r="G11" s="371">
        <f>(H9*I8+H12*I14)/$G$36</f>
        <v>40.982929691667586</v>
      </c>
      <c r="H11" s="70"/>
      <c r="I11" s="70"/>
      <c r="J11" s="70"/>
      <c r="K11" s="371">
        <f>(L9*M8+L12*M14)/$K$36</f>
        <v>40.730714285714328</v>
      </c>
      <c r="L11" s="70"/>
      <c r="M11" s="70"/>
      <c r="N11" s="70"/>
      <c r="O11" s="70"/>
    </row>
    <row r="12" spans="1:15">
      <c r="A12" s="70"/>
      <c r="B12" s="379"/>
      <c r="C12" s="70"/>
      <c r="D12" s="70"/>
      <c r="E12" s="70"/>
      <c r="F12" s="140">
        <f>((1+E35)*E13-G16)/(G10-G16)</f>
        <v>0.46666666666666728</v>
      </c>
      <c r="G12" s="70"/>
      <c r="H12" s="140">
        <f>1-H9</f>
        <v>0.46666666666666734</v>
      </c>
      <c r="I12" s="70"/>
      <c r="J12" s="140">
        <f>((1+I35)*I13-K16)/(K10-K16)</f>
        <v>0.59999999999999964</v>
      </c>
      <c r="K12" s="70"/>
      <c r="L12" s="140">
        <f>1-L9</f>
        <v>0.33333333333333204</v>
      </c>
      <c r="M12" s="70"/>
      <c r="N12" s="70"/>
      <c r="O12" s="70"/>
    </row>
    <row r="13" spans="1:15">
      <c r="A13" s="70"/>
      <c r="B13" s="379"/>
      <c r="C13" s="70"/>
      <c r="D13" s="70"/>
      <c r="E13" s="397">
        <f>C2*C1</f>
        <v>110.00000000000001</v>
      </c>
      <c r="F13" s="70"/>
      <c r="G13" s="70"/>
      <c r="H13" s="70"/>
      <c r="I13" s="397">
        <f>C2^2*C3*C1</f>
        <v>114.95000000000002</v>
      </c>
      <c r="J13" s="70"/>
      <c r="K13" s="70"/>
      <c r="L13" s="70"/>
      <c r="M13" s="397">
        <f>C2^3*C3^2*C1</f>
        <v>120.12275000000004</v>
      </c>
      <c r="N13" s="70"/>
      <c r="O13" s="70"/>
    </row>
    <row r="14" spans="1:15">
      <c r="A14" s="70"/>
      <c r="B14" s="379"/>
      <c r="C14" s="70"/>
      <c r="D14" s="70"/>
      <c r="E14" s="371">
        <f>(F12*G11+F15*G17)/$E$36</f>
        <v>31.563586885625114</v>
      </c>
      <c r="F14" s="70"/>
      <c r="G14" s="70"/>
      <c r="H14" s="70"/>
      <c r="I14" s="371">
        <f>(J12*K11+J15*K17)/$I$36</f>
        <v>32.532417582417601</v>
      </c>
      <c r="J14" s="70"/>
      <c r="K14" s="70"/>
      <c r="L14" s="70"/>
      <c r="M14" s="371">
        <f>IF(M13-$C$4&gt;0,M13-$C$4,0)</f>
        <v>30.122750000000039</v>
      </c>
      <c r="N14" s="70"/>
      <c r="O14" s="70"/>
    </row>
    <row r="15" spans="1:15">
      <c r="A15" s="70"/>
      <c r="B15" s="379"/>
      <c r="C15" s="70"/>
      <c r="D15" s="249">
        <f>((1+C35)*C1-E19)/(E13-E19)</f>
        <v>0.39999999999999963</v>
      </c>
      <c r="E15" s="70"/>
      <c r="F15" s="140">
        <f>1-F12</f>
        <v>0.53333333333333277</v>
      </c>
      <c r="G15" s="70"/>
      <c r="H15" s="140">
        <f>((1+G35)*G16-I19)/(I13-I19)</f>
        <v>0.53333333333333288</v>
      </c>
      <c r="I15" s="70"/>
      <c r="J15" s="140">
        <f>1-J12</f>
        <v>0.40000000000000036</v>
      </c>
      <c r="K15" s="70"/>
      <c r="L15" s="140">
        <f>((1+K35)*K16-M19)/(M13-M19)</f>
        <v>0.66666666666666519</v>
      </c>
      <c r="M15" s="70"/>
      <c r="N15" s="70"/>
      <c r="O15" s="70"/>
    </row>
    <row r="16" spans="1:15" ht="12.75">
      <c r="A16" s="70"/>
      <c r="B16" s="380" t="s">
        <v>96</v>
      </c>
      <c r="C16" s="397">
        <f>C1</f>
        <v>100</v>
      </c>
      <c r="D16" s="70"/>
      <c r="E16" s="70"/>
      <c r="F16" s="70"/>
      <c r="G16" s="397">
        <f>C2*C3*C1</f>
        <v>104.5</v>
      </c>
      <c r="H16" s="70"/>
      <c r="I16" s="70"/>
      <c r="J16" s="70"/>
      <c r="K16" s="397">
        <f>C2^2*C3^2*C1</f>
        <v>109.2025</v>
      </c>
      <c r="L16" s="70"/>
      <c r="M16" s="70"/>
      <c r="N16" s="70"/>
      <c r="O16" s="70"/>
    </row>
    <row r="17" spans="1:15" ht="12.75">
      <c r="A17" s="70"/>
      <c r="B17" s="380" t="s">
        <v>106</v>
      </c>
      <c r="C17" s="371">
        <f>(D15*E14+D18*E20)/(1+C35)</f>
        <v>22.588462797530827</v>
      </c>
      <c r="D17" s="70"/>
      <c r="E17" s="70"/>
      <c r="F17" s="70"/>
      <c r="G17" s="371">
        <f>(H15*I14+H18*I20)/$G$36</f>
        <v>24.505296438548871</v>
      </c>
      <c r="H17" s="70"/>
      <c r="I17" s="70"/>
      <c r="J17" s="70"/>
      <c r="K17" s="371">
        <f>(L15*M14+L18*M20)/$K$36</f>
        <v>23.488214285714289</v>
      </c>
      <c r="L17" s="70"/>
      <c r="M17" s="70"/>
      <c r="N17" s="70"/>
      <c r="O17" s="70"/>
    </row>
    <row r="18" spans="1:15">
      <c r="A18" s="70"/>
      <c r="B18" s="379"/>
      <c r="C18" s="70"/>
      <c r="D18" s="140">
        <f>1-D15</f>
        <v>0.60000000000000031</v>
      </c>
      <c r="E18" s="70"/>
      <c r="F18" s="140">
        <f>((1+E35)*E19-G22)/(G16-G22)</f>
        <v>0.46666666666666706</v>
      </c>
      <c r="G18" s="70"/>
      <c r="H18" s="140">
        <f>1-H15</f>
        <v>0.46666666666666712</v>
      </c>
      <c r="I18" s="70"/>
      <c r="J18" s="140">
        <f>((1+I35)*I19-K22)/(K16-K22)</f>
        <v>0.60000000000000098</v>
      </c>
      <c r="K18" s="70"/>
      <c r="L18" s="140">
        <f>1-L15</f>
        <v>0.33333333333333481</v>
      </c>
      <c r="M18" s="70"/>
      <c r="N18" s="70"/>
      <c r="O18" s="70"/>
    </row>
    <row r="19" spans="1:15">
      <c r="A19" s="70"/>
      <c r="B19" s="379"/>
      <c r="C19" s="70"/>
      <c r="D19" s="70"/>
      <c r="E19" s="397">
        <f>C3*C1</f>
        <v>95</v>
      </c>
      <c r="F19" s="70"/>
      <c r="G19" s="70"/>
      <c r="H19" s="70"/>
      <c r="I19" s="397">
        <f>C2*C3^2*C1</f>
        <v>99.275000000000006</v>
      </c>
      <c r="J19" s="70"/>
      <c r="K19" s="70"/>
      <c r="L19" s="70"/>
      <c r="M19" s="397">
        <f>C2^2*C3^3*C1</f>
        <v>103.74237500000001</v>
      </c>
      <c r="N19" s="70"/>
      <c r="O19" s="70"/>
    </row>
    <row r="20" spans="1:15">
      <c r="A20" s="70"/>
      <c r="B20" s="379"/>
      <c r="C20" s="70"/>
      <c r="D20" s="70"/>
      <c r="E20" s="371">
        <f>(F18*G17+F21*G23)/$E$36</f>
        <v>16.981521118760163</v>
      </c>
      <c r="F20" s="70"/>
      <c r="G20" s="70"/>
      <c r="H20" s="70"/>
      <c r="I20" s="371">
        <f>(J18*K17+J21*K23)/$I$36</f>
        <v>16.906784188034198</v>
      </c>
      <c r="J20" s="70"/>
      <c r="K20" s="70"/>
      <c r="L20" s="70"/>
      <c r="M20" s="371">
        <f>IF(M19-$C$4&gt;0,M19-$C$4,0)</f>
        <v>13.74237500000001</v>
      </c>
      <c r="N20" s="70"/>
      <c r="O20" s="70"/>
    </row>
    <row r="21" spans="1:15">
      <c r="A21" s="70"/>
      <c r="B21" s="379"/>
      <c r="C21" s="70"/>
      <c r="D21" s="70"/>
      <c r="E21" s="70"/>
      <c r="F21" s="140">
        <f>1-F18</f>
        <v>0.53333333333333299</v>
      </c>
      <c r="G21" s="70"/>
      <c r="H21" s="140">
        <f>((1+G35)*G22-I25)/(I19-I25)</f>
        <v>0.53333333333333344</v>
      </c>
      <c r="I21" s="70"/>
      <c r="J21" s="140">
        <f>1-J18</f>
        <v>0.39999999999999902</v>
      </c>
      <c r="K21" s="70"/>
      <c r="L21" s="140">
        <f>((1+K35)*K22-M25)/(M19-M25)</f>
        <v>0.6666666666666653</v>
      </c>
      <c r="M21" s="70"/>
      <c r="N21" s="70"/>
      <c r="O21" s="70"/>
    </row>
    <row r="22" spans="1:15">
      <c r="A22" s="70"/>
      <c r="B22" s="379"/>
      <c r="C22" s="70"/>
      <c r="D22" s="70"/>
      <c r="E22" s="70"/>
      <c r="F22" s="70"/>
      <c r="G22" s="397">
        <f>C3^2*C1</f>
        <v>90.25</v>
      </c>
      <c r="H22" s="70"/>
      <c r="I22" s="70"/>
      <c r="J22" s="70"/>
      <c r="K22" s="397">
        <f>C2*C3^3*C1</f>
        <v>94.311249999999987</v>
      </c>
      <c r="L22" s="70"/>
      <c r="M22" s="70"/>
      <c r="N22" s="70"/>
      <c r="O22" s="70"/>
    </row>
    <row r="23" spans="1:15">
      <c r="A23" s="70"/>
      <c r="B23" s="379"/>
      <c r="C23" s="70"/>
      <c r="D23" s="70"/>
      <c r="E23" s="70"/>
      <c r="F23" s="70"/>
      <c r="G23" s="371">
        <f>(H21*I20+H24*I26)/$G$36</f>
        <v>11.035024755898544</v>
      </c>
      <c r="H23" s="70"/>
      <c r="I23" s="70"/>
      <c r="J23" s="70"/>
      <c r="K23" s="371">
        <f>(L21*M20+L24*M26)/$K$36</f>
        <v>8.7253174603174468</v>
      </c>
      <c r="L23" s="70"/>
      <c r="M23" s="70"/>
      <c r="N23" s="70"/>
      <c r="O23" s="70"/>
    </row>
    <row r="24" spans="1:15">
      <c r="A24" s="70"/>
      <c r="B24" s="379"/>
      <c r="C24" s="70"/>
      <c r="D24" s="70"/>
      <c r="E24" s="70"/>
      <c r="F24" s="70"/>
      <c r="G24" s="70"/>
      <c r="H24" s="140">
        <f>1-H21</f>
        <v>0.46666666666666656</v>
      </c>
      <c r="I24" s="70"/>
      <c r="J24" s="140">
        <f>((1+I35)*I25-K28)/(K22-K28)</f>
        <v>0.59999999999999953</v>
      </c>
      <c r="K24" s="70"/>
      <c r="L24" s="140">
        <f>1-L21</f>
        <v>0.3333333333333347</v>
      </c>
      <c r="M24" s="70"/>
      <c r="N24" s="70"/>
      <c r="O24" s="70"/>
    </row>
    <row r="25" spans="1:15">
      <c r="A25" s="70"/>
      <c r="B25" s="379"/>
      <c r="C25" s="70"/>
      <c r="D25" s="70"/>
      <c r="E25" s="70"/>
      <c r="F25" s="70"/>
      <c r="G25" s="70"/>
      <c r="H25" s="70"/>
      <c r="I25" s="397">
        <f>C3^3*C1</f>
        <v>85.737499999999983</v>
      </c>
      <c r="J25" s="70"/>
      <c r="K25" s="70"/>
      <c r="L25" s="70"/>
      <c r="M25" s="397">
        <f>C2*C3^4*C1</f>
        <v>89.595687500000011</v>
      </c>
      <c r="N25" s="70"/>
      <c r="O25" s="70"/>
    </row>
    <row r="26" spans="1:15">
      <c r="A26" s="70"/>
      <c r="B26" s="379"/>
      <c r="C26" s="70"/>
      <c r="D26" s="70"/>
      <c r="E26" s="70"/>
      <c r="F26" s="70"/>
      <c r="G26" s="70"/>
      <c r="H26" s="70"/>
      <c r="I26" s="371">
        <f>(J24*K23+J27*K29)/$I$36</f>
        <v>5.0338369963369844</v>
      </c>
      <c r="J26" s="70"/>
      <c r="K26" s="70"/>
      <c r="L26" s="70"/>
      <c r="M26" s="371">
        <f>IF(M25-$C$4&gt;0,M25-$C$4,0)</f>
        <v>0</v>
      </c>
      <c r="N26" s="70"/>
      <c r="O26" s="70"/>
    </row>
    <row r="27" spans="1:15">
      <c r="A27" s="70"/>
      <c r="B27" s="379"/>
      <c r="C27" s="70"/>
      <c r="D27" s="70"/>
      <c r="E27" s="70"/>
      <c r="F27" s="70"/>
      <c r="G27" s="70"/>
      <c r="H27" s="70"/>
      <c r="I27" s="70"/>
      <c r="J27" s="140">
        <f>1-J24</f>
        <v>0.40000000000000047</v>
      </c>
      <c r="K27" s="70"/>
      <c r="L27" s="140">
        <f>((1+K35)*K28-M31)/(M25-M31)</f>
        <v>0.66666666666666585</v>
      </c>
      <c r="M27" s="70"/>
      <c r="N27" s="70"/>
      <c r="O27" s="70"/>
    </row>
    <row r="28" spans="1:15">
      <c r="A28" s="70"/>
      <c r="B28" s="379"/>
      <c r="C28" s="70"/>
      <c r="D28" s="70" t="s">
        <v>415</v>
      </c>
      <c r="E28" s="70"/>
      <c r="F28" s="70"/>
      <c r="G28" s="70"/>
      <c r="H28" s="70"/>
      <c r="I28" s="70"/>
      <c r="J28" s="70"/>
      <c r="K28" s="397">
        <f>C3^4*C1</f>
        <v>81.450625000000002</v>
      </c>
      <c r="L28" s="70"/>
      <c r="M28" s="70"/>
      <c r="N28" s="70"/>
      <c r="O28" s="70"/>
    </row>
    <row r="29" spans="1:15">
      <c r="A29" s="70"/>
      <c r="B29" s="379"/>
      <c r="C29" s="70"/>
      <c r="D29" s="70"/>
      <c r="E29" s="70"/>
      <c r="F29" s="70"/>
      <c r="G29" s="70"/>
      <c r="H29" s="70"/>
      <c r="I29" s="70"/>
      <c r="J29" s="70"/>
      <c r="K29" s="371">
        <f>(L27*M26+L30*M32)/$K$36</f>
        <v>0</v>
      </c>
      <c r="L29" s="70"/>
      <c r="M29" s="70"/>
      <c r="N29" s="70"/>
      <c r="O29" s="70"/>
    </row>
    <row r="30" spans="1:15">
      <c r="A30" s="70"/>
      <c r="B30" s="379"/>
      <c r="C30" s="70"/>
      <c r="D30" s="70"/>
      <c r="E30" s="70"/>
      <c r="F30" s="70"/>
      <c r="G30" s="70"/>
      <c r="H30" s="70"/>
      <c r="I30" s="70"/>
      <c r="J30" s="70"/>
      <c r="K30" s="70"/>
      <c r="L30" s="140">
        <f>1-L27</f>
        <v>0.33333333333333415</v>
      </c>
      <c r="M30" s="70"/>
      <c r="N30" s="70"/>
      <c r="O30" s="70"/>
    </row>
    <row r="31" spans="1:15">
      <c r="A31" s="70"/>
      <c r="B31" s="379"/>
      <c r="C31" s="70"/>
      <c r="D31" s="70"/>
      <c r="E31" s="70"/>
      <c r="F31" s="70"/>
      <c r="G31" s="70"/>
      <c r="H31" s="70"/>
      <c r="I31" s="70"/>
      <c r="J31" s="70"/>
      <c r="K31" s="70"/>
      <c r="L31" s="70"/>
      <c r="M31" s="365">
        <f>C3^5*C1</f>
        <v>77.378093750000005</v>
      </c>
      <c r="N31" s="70"/>
      <c r="O31" s="70"/>
    </row>
    <row r="32" spans="1:15">
      <c r="A32" s="70"/>
      <c r="B32" s="379"/>
      <c r="C32" s="70"/>
      <c r="D32" s="70"/>
      <c r="E32" s="70"/>
      <c r="F32" s="70"/>
      <c r="G32" s="70"/>
      <c r="H32" s="70"/>
      <c r="I32" s="70"/>
      <c r="J32" s="70"/>
      <c r="K32" s="70"/>
      <c r="L32" s="70"/>
      <c r="M32" s="371">
        <f>IF(M31-$C$4&gt;0,M31-$C$4,0)</f>
        <v>0</v>
      </c>
      <c r="N32" s="70"/>
      <c r="O32" s="70"/>
    </row>
    <row r="33" spans="1:16">
      <c r="A33" s="70"/>
      <c r="B33" s="379" t="s">
        <v>416</v>
      </c>
      <c r="C33" s="70"/>
      <c r="D33" s="70"/>
      <c r="E33" s="70"/>
      <c r="F33" s="70"/>
      <c r="G33" s="70"/>
      <c r="H33" s="70"/>
      <c r="I33" s="70"/>
      <c r="J33" s="70"/>
      <c r="K33" s="70"/>
      <c r="L33" s="70"/>
      <c r="M33" s="70"/>
      <c r="N33" s="70"/>
      <c r="O33" s="70"/>
    </row>
    <row r="34" spans="1:16">
      <c r="A34" s="70"/>
      <c r="B34" s="381" t="s">
        <v>417</v>
      </c>
      <c r="C34" s="375" t="s">
        <v>418</v>
      </c>
      <c r="D34" s="375"/>
      <c r="E34" s="375" t="s">
        <v>419</v>
      </c>
      <c r="F34" s="375"/>
      <c r="G34" s="375" t="s">
        <v>420</v>
      </c>
      <c r="H34" s="375"/>
      <c r="I34" s="375" t="s">
        <v>421</v>
      </c>
      <c r="J34" s="375"/>
      <c r="K34" s="375" t="s">
        <v>422</v>
      </c>
      <c r="L34" s="375"/>
      <c r="M34" s="376" t="s">
        <v>423</v>
      </c>
      <c r="N34" s="70"/>
      <c r="O34" s="70"/>
    </row>
    <row r="35" spans="1:16">
      <c r="A35" s="70"/>
      <c r="B35" s="382" t="s">
        <v>424</v>
      </c>
      <c r="C35" s="367">
        <v>0.01</v>
      </c>
      <c r="D35" s="367"/>
      <c r="E35" s="367">
        <v>0.02</v>
      </c>
      <c r="F35" s="367"/>
      <c r="G35" s="367">
        <v>0.03</v>
      </c>
      <c r="H35" s="367"/>
      <c r="I35" s="367">
        <v>0.04</v>
      </c>
      <c r="J35" s="367"/>
      <c r="K35" s="367">
        <v>0.05</v>
      </c>
      <c r="L35" s="367"/>
      <c r="M35" s="368"/>
      <c r="N35" s="70"/>
      <c r="O35" s="70"/>
    </row>
    <row r="36" spans="1:16">
      <c r="A36" s="70"/>
      <c r="B36" s="381" t="s">
        <v>425</v>
      </c>
      <c r="C36" s="375">
        <f>1+C35</f>
        <v>1.01</v>
      </c>
      <c r="D36" s="375"/>
      <c r="E36" s="375">
        <f>1+E35</f>
        <v>1.02</v>
      </c>
      <c r="F36" s="375"/>
      <c r="G36" s="375">
        <f>1+G35</f>
        <v>1.03</v>
      </c>
      <c r="H36" s="375"/>
      <c r="I36" s="375">
        <f>1+I35</f>
        <v>1.04</v>
      </c>
      <c r="J36" s="375"/>
      <c r="K36" s="375">
        <f>1+K35</f>
        <v>1.05</v>
      </c>
      <c r="L36" s="375"/>
      <c r="M36" s="376"/>
      <c r="N36" s="70"/>
      <c r="O36" s="70"/>
    </row>
    <row r="37" spans="1:16">
      <c r="A37" s="70"/>
      <c r="B37" s="379"/>
      <c r="C37" s="70"/>
      <c r="D37" s="70"/>
      <c r="E37" s="70"/>
      <c r="F37" s="70"/>
      <c r="G37" s="70"/>
      <c r="H37" s="70"/>
      <c r="I37" s="70"/>
      <c r="J37" s="70"/>
      <c r="K37" s="70"/>
      <c r="L37" s="70"/>
      <c r="M37" s="70"/>
      <c r="N37" s="70"/>
      <c r="O37" s="70"/>
    </row>
    <row r="38" spans="1:16">
      <c r="A38" s="70"/>
      <c r="B38" s="379"/>
      <c r="C38" s="70"/>
      <c r="D38" s="70"/>
      <c r="E38" s="70"/>
      <c r="F38" s="70"/>
      <c r="G38" s="70"/>
      <c r="H38" s="70"/>
      <c r="I38" s="70"/>
      <c r="J38" s="70"/>
      <c r="K38" s="70"/>
      <c r="L38" s="70"/>
      <c r="M38" s="70"/>
      <c r="N38" s="70"/>
      <c r="O38" s="70"/>
    </row>
    <row r="39" spans="1:16">
      <c r="A39" s="70"/>
      <c r="B39" s="379" t="s">
        <v>415</v>
      </c>
      <c r="C39" s="70"/>
      <c r="D39" s="70"/>
      <c r="E39" s="383"/>
      <c r="F39" s="70"/>
      <c r="G39" s="70"/>
      <c r="H39" s="70"/>
      <c r="I39" s="70"/>
      <c r="J39" s="70"/>
      <c r="K39" s="70"/>
      <c r="L39" s="70"/>
      <c r="M39" s="70"/>
      <c r="N39" s="70"/>
      <c r="O39" s="70"/>
    </row>
    <row r="40" spans="1:16">
      <c r="A40" s="70"/>
      <c r="B40" s="379"/>
      <c r="C40" s="70"/>
      <c r="D40" s="70"/>
      <c r="E40" s="383" t="s">
        <v>426</v>
      </c>
      <c r="F40" s="70"/>
      <c r="G40" s="70"/>
      <c r="H40" s="249" t="s">
        <v>426</v>
      </c>
      <c r="I40" s="375" t="s">
        <v>427</v>
      </c>
      <c r="J40" s="13"/>
      <c r="K40" s="13"/>
      <c r="L40" s="13"/>
      <c r="M40" s="13"/>
      <c r="N40" s="269"/>
      <c r="O40" s="70"/>
    </row>
    <row r="41" spans="1:16">
      <c r="A41" s="70"/>
      <c r="B41" s="384"/>
      <c r="C41" s="158">
        <f>M1*L3+M7*L6</f>
        <v>153.73050000000006</v>
      </c>
      <c r="D41" s="159"/>
      <c r="E41" s="386">
        <v>1.2</v>
      </c>
      <c r="F41" s="70"/>
      <c r="G41" s="70"/>
      <c r="H41" s="373">
        <v>1</v>
      </c>
      <c r="I41" s="387">
        <f t="shared" ref="I41:I72" si="0">$C$16</f>
        <v>100</v>
      </c>
      <c r="J41" s="388">
        <f t="shared" ref="J41:J56" si="1">$E$13</f>
        <v>110.00000000000001</v>
      </c>
      <c r="K41" s="387">
        <f t="shared" ref="K41:K48" si="2">$G$10</f>
        <v>121.00000000000001</v>
      </c>
      <c r="L41" s="388">
        <f>$I$7</f>
        <v>133.10000000000005</v>
      </c>
      <c r="M41" s="387">
        <f>K4</f>
        <v>146.41000000000005</v>
      </c>
      <c r="N41" s="281">
        <f>M1</f>
        <v>161.05100000000004</v>
      </c>
      <c r="O41" s="70"/>
      <c r="P41" s="369">
        <f t="shared" ref="P41:P72" si="3">I41+J41+K41+L41+M41+N41</f>
        <v>771.56100000000015</v>
      </c>
    </row>
    <row r="42" spans="1:16">
      <c r="A42" s="70"/>
      <c r="B42" s="385"/>
      <c r="C42" s="164"/>
      <c r="D42" s="165"/>
      <c r="E42" s="389"/>
      <c r="F42" s="70"/>
      <c r="G42" s="70"/>
      <c r="H42" s="373">
        <v>2</v>
      </c>
      <c r="I42" s="387">
        <f t="shared" si="0"/>
        <v>100</v>
      </c>
      <c r="J42" s="388">
        <f t="shared" si="1"/>
        <v>110.00000000000001</v>
      </c>
      <c r="K42" s="387">
        <f t="shared" si="2"/>
        <v>121.00000000000001</v>
      </c>
      <c r="L42" s="388">
        <f>$I$7</f>
        <v>133.10000000000005</v>
      </c>
      <c r="M42" s="387">
        <f>K4</f>
        <v>146.41000000000005</v>
      </c>
      <c r="N42" s="281">
        <f>M7</f>
        <v>139.08950000000002</v>
      </c>
      <c r="O42" s="70"/>
      <c r="P42" s="369">
        <f t="shared" si="3"/>
        <v>749.59950000000015</v>
      </c>
    </row>
    <row r="43" spans="1:16">
      <c r="A43" s="70"/>
      <c r="B43" s="385"/>
      <c r="C43" s="164">
        <f>M7*L9+M13*L12</f>
        <v>132.76725000000005</v>
      </c>
      <c r="D43" s="165"/>
      <c r="E43" s="390" t="s">
        <v>428</v>
      </c>
      <c r="F43" s="70"/>
      <c r="G43" s="70"/>
      <c r="H43" s="373">
        <v>3</v>
      </c>
      <c r="I43" s="387">
        <f t="shared" si="0"/>
        <v>100</v>
      </c>
      <c r="J43" s="388">
        <f t="shared" si="1"/>
        <v>110.00000000000001</v>
      </c>
      <c r="K43" s="387">
        <f t="shared" si="2"/>
        <v>121.00000000000001</v>
      </c>
      <c r="L43" s="388">
        <f>$I$7</f>
        <v>133.10000000000005</v>
      </c>
      <c r="M43" s="387">
        <f>K10</f>
        <v>126.44500000000004</v>
      </c>
      <c r="N43" s="281">
        <f>M7</f>
        <v>139.08950000000002</v>
      </c>
      <c r="O43" s="70"/>
      <c r="P43" s="369">
        <f t="shared" si="3"/>
        <v>729.63450000000012</v>
      </c>
    </row>
    <row r="44" spans="1:16">
      <c r="A44" s="70"/>
      <c r="B44" s="385"/>
      <c r="C44" s="164"/>
      <c r="D44" s="165"/>
      <c r="E44" s="389"/>
      <c r="F44" s="70"/>
      <c r="G44" s="70"/>
      <c r="H44" s="373">
        <v>4</v>
      </c>
      <c r="I44" s="387">
        <f t="shared" si="0"/>
        <v>100</v>
      </c>
      <c r="J44" s="388">
        <f t="shared" si="1"/>
        <v>110.00000000000001</v>
      </c>
      <c r="K44" s="387">
        <f t="shared" si="2"/>
        <v>121.00000000000001</v>
      </c>
      <c r="L44" s="388">
        <f>$I$7</f>
        <v>133.10000000000005</v>
      </c>
      <c r="M44" s="387">
        <f>$K$10</f>
        <v>126.44500000000004</v>
      </c>
      <c r="N44" s="281">
        <f>M13</f>
        <v>120.12275000000004</v>
      </c>
      <c r="O44" s="70"/>
      <c r="P44" s="369">
        <f t="shared" si="3"/>
        <v>710.66775000000007</v>
      </c>
    </row>
    <row r="45" spans="1:16">
      <c r="A45" s="70"/>
      <c r="B45" s="385" t="s">
        <v>440</v>
      </c>
      <c r="C45" s="164">
        <f>M13*L15+M19*L18</f>
        <v>114.66262500000001</v>
      </c>
      <c r="D45" s="165"/>
      <c r="E45" s="389" t="s">
        <v>429</v>
      </c>
      <c r="F45" s="70"/>
      <c r="G45" s="70"/>
      <c r="H45" s="373">
        <v>5</v>
      </c>
      <c r="I45" s="387">
        <f t="shared" si="0"/>
        <v>100</v>
      </c>
      <c r="J45" s="388">
        <f t="shared" si="1"/>
        <v>110.00000000000001</v>
      </c>
      <c r="K45" s="387">
        <f t="shared" si="2"/>
        <v>121.00000000000001</v>
      </c>
      <c r="L45" s="388">
        <f t="shared" ref="L45:L52" si="4">$I$13</f>
        <v>114.95000000000002</v>
      </c>
      <c r="M45" s="387">
        <f>$K$10</f>
        <v>126.44500000000004</v>
      </c>
      <c r="N45" s="281">
        <f>M7</f>
        <v>139.08950000000002</v>
      </c>
      <c r="O45" s="70"/>
      <c r="P45" s="369">
        <f t="shared" si="3"/>
        <v>711.48450000000014</v>
      </c>
    </row>
    <row r="46" spans="1:16">
      <c r="A46" s="70"/>
      <c r="B46" s="385"/>
      <c r="C46" s="164"/>
      <c r="D46" s="165"/>
      <c r="E46" s="389"/>
      <c r="F46" s="70"/>
      <c r="G46" s="70"/>
      <c r="H46" s="373">
        <v>6</v>
      </c>
      <c r="I46" s="387">
        <f t="shared" si="0"/>
        <v>100</v>
      </c>
      <c r="J46" s="388">
        <f t="shared" si="1"/>
        <v>110.00000000000001</v>
      </c>
      <c r="K46" s="387">
        <f t="shared" si="2"/>
        <v>121.00000000000001</v>
      </c>
      <c r="L46" s="388">
        <f t="shared" si="4"/>
        <v>114.95000000000002</v>
      </c>
      <c r="M46" s="387">
        <f>$K$10</f>
        <v>126.44500000000004</v>
      </c>
      <c r="N46" s="281">
        <f>M13</f>
        <v>120.12275000000004</v>
      </c>
      <c r="O46" s="70"/>
      <c r="P46" s="369">
        <f t="shared" si="3"/>
        <v>692.51775000000009</v>
      </c>
    </row>
    <row r="47" spans="1:16">
      <c r="A47" s="70"/>
      <c r="B47" s="385"/>
      <c r="C47" s="164">
        <f>M19*L21+M25*L24</f>
        <v>99.026812499999991</v>
      </c>
      <c r="D47" s="165"/>
      <c r="E47" s="389" t="s">
        <v>430</v>
      </c>
      <c r="F47" s="70"/>
      <c r="G47" s="70"/>
      <c r="H47" s="373">
        <v>7</v>
      </c>
      <c r="I47" s="387">
        <f t="shared" si="0"/>
        <v>100</v>
      </c>
      <c r="J47" s="388">
        <f t="shared" si="1"/>
        <v>110.00000000000001</v>
      </c>
      <c r="K47" s="387">
        <f t="shared" si="2"/>
        <v>121.00000000000001</v>
      </c>
      <c r="L47" s="388">
        <f t="shared" si="4"/>
        <v>114.95000000000002</v>
      </c>
      <c r="M47" s="387">
        <f>K16</f>
        <v>109.2025</v>
      </c>
      <c r="N47" s="281">
        <f>M13</f>
        <v>120.12275000000004</v>
      </c>
      <c r="O47" s="70"/>
      <c r="P47" s="369">
        <f t="shared" si="3"/>
        <v>675.27525000000003</v>
      </c>
    </row>
    <row r="48" spans="1:16">
      <c r="A48" s="70"/>
      <c r="B48" s="385"/>
      <c r="C48" s="164"/>
      <c r="D48" s="165"/>
      <c r="E48" s="389"/>
      <c r="F48" s="70"/>
      <c r="G48" s="70"/>
      <c r="H48" s="373">
        <v>8</v>
      </c>
      <c r="I48" s="387">
        <f t="shared" si="0"/>
        <v>100</v>
      </c>
      <c r="J48" s="388">
        <f t="shared" si="1"/>
        <v>110.00000000000001</v>
      </c>
      <c r="K48" s="387">
        <f t="shared" si="2"/>
        <v>121.00000000000001</v>
      </c>
      <c r="L48" s="388">
        <f t="shared" si="4"/>
        <v>114.95000000000002</v>
      </c>
      <c r="M48" s="387">
        <f>K16</f>
        <v>109.2025</v>
      </c>
      <c r="N48" s="281">
        <f>M19</f>
        <v>103.74237500000001</v>
      </c>
      <c r="O48" s="70"/>
      <c r="P48" s="369">
        <f t="shared" si="3"/>
        <v>658.89487500000007</v>
      </c>
    </row>
    <row r="49" spans="1:16">
      <c r="A49" s="70"/>
      <c r="B49" s="382"/>
      <c r="C49" s="291">
        <f>M25*L27+M31*L30</f>
        <v>85.52315625</v>
      </c>
      <c r="D49" s="169"/>
      <c r="E49" s="391">
        <v>31.32</v>
      </c>
      <c r="F49" s="70"/>
      <c r="G49" s="70"/>
      <c r="H49" s="373">
        <v>9</v>
      </c>
      <c r="I49" s="387">
        <f t="shared" si="0"/>
        <v>100</v>
      </c>
      <c r="J49" s="388">
        <f t="shared" si="1"/>
        <v>110.00000000000001</v>
      </c>
      <c r="K49" s="387">
        <f t="shared" ref="K49:K64" si="5">$G$16</f>
        <v>104.5</v>
      </c>
      <c r="L49" s="388">
        <f t="shared" si="4"/>
        <v>114.95000000000002</v>
      </c>
      <c r="M49" s="387">
        <f>$K$10</f>
        <v>126.44500000000004</v>
      </c>
      <c r="N49" s="281">
        <f>M7</f>
        <v>139.08950000000002</v>
      </c>
      <c r="O49" s="70"/>
      <c r="P49" s="369">
        <f t="shared" si="3"/>
        <v>694.98450000000014</v>
      </c>
    </row>
    <row r="50" spans="1:16">
      <c r="A50" s="70"/>
      <c r="B50" s="379"/>
      <c r="C50" s="70"/>
      <c r="D50" s="70"/>
      <c r="E50" s="392"/>
      <c r="F50" s="70"/>
      <c r="G50" s="70"/>
      <c r="H50" s="373">
        <v>10</v>
      </c>
      <c r="I50" s="387">
        <f t="shared" si="0"/>
        <v>100</v>
      </c>
      <c r="J50" s="388">
        <f t="shared" si="1"/>
        <v>110.00000000000001</v>
      </c>
      <c r="K50" s="387">
        <f t="shared" si="5"/>
        <v>104.5</v>
      </c>
      <c r="L50" s="388">
        <f t="shared" si="4"/>
        <v>114.95000000000002</v>
      </c>
      <c r="M50" s="387">
        <f>$K$10</f>
        <v>126.44500000000004</v>
      </c>
      <c r="N50" s="281">
        <f>M13</f>
        <v>120.12275000000004</v>
      </c>
      <c r="O50" s="70"/>
      <c r="P50" s="369">
        <f t="shared" si="3"/>
        <v>676.01775000000009</v>
      </c>
    </row>
    <row r="51" spans="1:16">
      <c r="A51" s="70"/>
      <c r="B51" s="384"/>
      <c r="C51" s="158">
        <f>K4*J6+K10*J9</f>
        <v>138.42400000000006</v>
      </c>
      <c r="D51" s="159"/>
      <c r="E51" s="386" t="s">
        <v>431</v>
      </c>
      <c r="F51" s="70"/>
      <c r="G51" s="70"/>
      <c r="H51" s="373">
        <v>11</v>
      </c>
      <c r="I51" s="387">
        <f t="shared" si="0"/>
        <v>100</v>
      </c>
      <c r="J51" s="388">
        <f t="shared" si="1"/>
        <v>110.00000000000001</v>
      </c>
      <c r="K51" s="387">
        <f t="shared" si="5"/>
        <v>104.5</v>
      </c>
      <c r="L51" s="388">
        <f t="shared" si="4"/>
        <v>114.95000000000002</v>
      </c>
      <c r="M51" s="387">
        <f>K16</f>
        <v>109.2025</v>
      </c>
      <c r="N51" s="281">
        <f>M13</f>
        <v>120.12275000000004</v>
      </c>
      <c r="O51" s="70"/>
      <c r="P51" s="369">
        <f t="shared" si="3"/>
        <v>658.77525000000003</v>
      </c>
    </row>
    <row r="52" spans="1:16">
      <c r="A52" s="70"/>
      <c r="B52" s="385"/>
      <c r="C52" s="164"/>
      <c r="D52" s="165"/>
      <c r="E52" s="389"/>
      <c r="F52" s="70"/>
      <c r="G52" s="70"/>
      <c r="H52" s="373">
        <v>12</v>
      </c>
      <c r="I52" s="387">
        <f t="shared" si="0"/>
        <v>100</v>
      </c>
      <c r="J52" s="388">
        <f t="shared" si="1"/>
        <v>110.00000000000001</v>
      </c>
      <c r="K52" s="387">
        <f t="shared" si="5"/>
        <v>104.5</v>
      </c>
      <c r="L52" s="388">
        <f t="shared" si="4"/>
        <v>114.95000000000002</v>
      </c>
      <c r="M52" s="387">
        <f>$K$16</f>
        <v>109.2025</v>
      </c>
      <c r="N52" s="281">
        <f>M19</f>
        <v>103.74237500000001</v>
      </c>
      <c r="O52" s="70"/>
      <c r="P52" s="369">
        <f t="shared" si="3"/>
        <v>642.39487500000007</v>
      </c>
    </row>
    <row r="53" spans="1:16">
      <c r="A53" s="70"/>
      <c r="B53" s="385"/>
      <c r="C53" s="164">
        <f>K10*J12+K16*J15</f>
        <v>119.54800000000002</v>
      </c>
      <c r="D53" s="165"/>
      <c r="E53" s="390" t="s">
        <v>432</v>
      </c>
      <c r="F53" s="70"/>
      <c r="G53" s="70"/>
      <c r="H53" s="373">
        <v>13</v>
      </c>
      <c r="I53" s="387">
        <f t="shared" si="0"/>
        <v>100</v>
      </c>
      <c r="J53" s="388">
        <f t="shared" si="1"/>
        <v>110.00000000000001</v>
      </c>
      <c r="K53" s="387">
        <f t="shared" si="5"/>
        <v>104.5</v>
      </c>
      <c r="L53" s="388">
        <f>$I$19</f>
        <v>99.275000000000006</v>
      </c>
      <c r="M53" s="387">
        <f>$K$16</f>
        <v>109.2025</v>
      </c>
      <c r="N53" s="281">
        <f>M13</f>
        <v>120.12275000000004</v>
      </c>
      <c r="O53" s="70"/>
      <c r="P53" s="369">
        <f t="shared" si="3"/>
        <v>643.10024999999996</v>
      </c>
    </row>
    <row r="54" spans="1:16">
      <c r="A54" s="70"/>
      <c r="B54" s="385" t="s">
        <v>441</v>
      </c>
      <c r="C54" s="164"/>
      <c r="D54" s="165"/>
      <c r="E54" s="389"/>
      <c r="F54" s="70"/>
      <c r="G54" s="70"/>
      <c r="H54" s="373">
        <v>14</v>
      </c>
      <c r="I54" s="387">
        <f t="shared" si="0"/>
        <v>100</v>
      </c>
      <c r="J54" s="388">
        <f t="shared" si="1"/>
        <v>110.00000000000001</v>
      </c>
      <c r="K54" s="387">
        <f t="shared" si="5"/>
        <v>104.5</v>
      </c>
      <c r="L54" s="388">
        <f>$I$19</f>
        <v>99.275000000000006</v>
      </c>
      <c r="M54" s="387">
        <f>$K$16</f>
        <v>109.2025</v>
      </c>
      <c r="N54" s="281">
        <f>M19</f>
        <v>103.74237500000001</v>
      </c>
      <c r="O54" s="70"/>
      <c r="P54" s="369">
        <f t="shared" si="3"/>
        <v>626.719875</v>
      </c>
    </row>
    <row r="55" spans="1:16">
      <c r="A55" s="70"/>
      <c r="B55" s="385"/>
      <c r="C55" s="164">
        <f>K16*J18+K22*J21</f>
        <v>103.24600000000001</v>
      </c>
      <c r="D55" s="165"/>
      <c r="E55" s="389" t="s">
        <v>433</v>
      </c>
      <c r="F55" s="70"/>
      <c r="G55" s="70"/>
      <c r="H55" s="373">
        <v>15</v>
      </c>
      <c r="I55" s="387">
        <f t="shared" si="0"/>
        <v>100</v>
      </c>
      <c r="J55" s="388">
        <f t="shared" si="1"/>
        <v>110.00000000000001</v>
      </c>
      <c r="K55" s="387">
        <f t="shared" si="5"/>
        <v>104.5</v>
      </c>
      <c r="L55" s="388">
        <f>$I$19</f>
        <v>99.275000000000006</v>
      </c>
      <c r="M55" s="387">
        <f>K22</f>
        <v>94.311249999999987</v>
      </c>
      <c r="N55" s="281">
        <f>M19</f>
        <v>103.74237500000001</v>
      </c>
      <c r="O55" s="70"/>
      <c r="P55" s="369">
        <f t="shared" si="3"/>
        <v>611.82862499999999</v>
      </c>
    </row>
    <row r="56" spans="1:16">
      <c r="A56" s="70"/>
      <c r="B56" s="385"/>
      <c r="C56" s="164"/>
      <c r="D56" s="165"/>
      <c r="E56" s="389"/>
      <c r="F56" s="70"/>
      <c r="G56" s="70"/>
      <c r="H56" s="373">
        <v>16</v>
      </c>
      <c r="I56" s="387">
        <f t="shared" si="0"/>
        <v>100</v>
      </c>
      <c r="J56" s="388">
        <f t="shared" si="1"/>
        <v>110.00000000000001</v>
      </c>
      <c r="K56" s="387">
        <f t="shared" si="5"/>
        <v>104.5</v>
      </c>
      <c r="L56" s="388">
        <f>$I$19</f>
        <v>99.275000000000006</v>
      </c>
      <c r="M56" s="387">
        <f>K22</f>
        <v>94.311249999999987</v>
      </c>
      <c r="N56" s="281">
        <f>M25</f>
        <v>89.595687500000011</v>
      </c>
      <c r="O56" s="70"/>
      <c r="P56" s="369">
        <f t="shared" si="3"/>
        <v>597.6819375</v>
      </c>
    </row>
    <row r="57" spans="1:16">
      <c r="A57" s="70"/>
      <c r="B57" s="382"/>
      <c r="C57" s="291">
        <f>K22*J24+K28*J27</f>
        <v>89.166999999999987</v>
      </c>
      <c r="D57" s="169"/>
      <c r="E57" s="391" t="s">
        <v>434</v>
      </c>
      <c r="F57" s="70"/>
      <c r="G57" s="70"/>
      <c r="H57" s="373">
        <v>17</v>
      </c>
      <c r="I57" s="387">
        <f t="shared" si="0"/>
        <v>100</v>
      </c>
      <c r="J57" s="388">
        <f t="shared" ref="J57:J72" si="6">$E$19</f>
        <v>95</v>
      </c>
      <c r="K57" s="387">
        <f t="shared" si="5"/>
        <v>104.5</v>
      </c>
      <c r="L57" s="388">
        <f>$I$13</f>
        <v>114.95000000000002</v>
      </c>
      <c r="M57" s="387">
        <f>K10</f>
        <v>126.44500000000004</v>
      </c>
      <c r="N57" s="281">
        <f>M7</f>
        <v>139.08950000000002</v>
      </c>
      <c r="O57" s="70"/>
      <c r="P57" s="369">
        <f t="shared" si="3"/>
        <v>679.98450000000014</v>
      </c>
    </row>
    <row r="58" spans="1:16">
      <c r="A58" s="70"/>
      <c r="B58" s="379"/>
      <c r="C58" s="70"/>
      <c r="D58" s="70"/>
      <c r="E58" s="392"/>
      <c r="F58" s="70"/>
      <c r="G58" s="70"/>
      <c r="H58" s="373">
        <v>18</v>
      </c>
      <c r="I58" s="387">
        <f t="shared" si="0"/>
        <v>100</v>
      </c>
      <c r="J58" s="388">
        <f t="shared" si="6"/>
        <v>95</v>
      </c>
      <c r="K58" s="387">
        <f t="shared" si="5"/>
        <v>104.5</v>
      </c>
      <c r="L58" s="388">
        <f>$I$13</f>
        <v>114.95000000000002</v>
      </c>
      <c r="M58" s="387">
        <f>K10</f>
        <v>126.44500000000004</v>
      </c>
      <c r="N58" s="281">
        <f>M13</f>
        <v>120.12275000000004</v>
      </c>
      <c r="O58" s="70"/>
      <c r="P58" s="369">
        <f t="shared" si="3"/>
        <v>661.01775000000009</v>
      </c>
    </row>
    <row r="59" spans="1:16">
      <c r="A59" s="70"/>
      <c r="B59" s="384"/>
      <c r="C59" s="158">
        <f>I7*H9+I13*H12</f>
        <v>124.63000000000002</v>
      </c>
      <c r="D59" s="159"/>
      <c r="E59" s="386" t="s">
        <v>435</v>
      </c>
      <c r="F59" s="70"/>
      <c r="G59" s="70"/>
      <c r="H59" s="373">
        <v>19</v>
      </c>
      <c r="I59" s="387">
        <f t="shared" si="0"/>
        <v>100</v>
      </c>
      <c r="J59" s="388">
        <f t="shared" si="6"/>
        <v>95</v>
      </c>
      <c r="K59" s="387">
        <f t="shared" si="5"/>
        <v>104.5</v>
      </c>
      <c r="L59" s="388">
        <f>$I$13</f>
        <v>114.95000000000002</v>
      </c>
      <c r="M59" s="387">
        <f>K16</f>
        <v>109.2025</v>
      </c>
      <c r="N59" s="281">
        <f>M13</f>
        <v>120.12275000000004</v>
      </c>
      <c r="O59" s="70"/>
      <c r="P59" s="369">
        <f t="shared" si="3"/>
        <v>643.77525000000003</v>
      </c>
    </row>
    <row r="60" spans="1:16">
      <c r="A60" s="70"/>
      <c r="B60" s="385"/>
      <c r="C60" s="164"/>
      <c r="D60" s="165"/>
      <c r="E60" s="389"/>
      <c r="F60" s="70"/>
      <c r="G60" s="70"/>
      <c r="H60" s="373">
        <v>20</v>
      </c>
      <c r="I60" s="387">
        <f t="shared" si="0"/>
        <v>100</v>
      </c>
      <c r="J60" s="388">
        <f t="shared" si="6"/>
        <v>95</v>
      </c>
      <c r="K60" s="387">
        <f t="shared" si="5"/>
        <v>104.5</v>
      </c>
      <c r="L60" s="388">
        <f>$I$13</f>
        <v>114.95000000000002</v>
      </c>
      <c r="M60" s="387">
        <f>K16</f>
        <v>109.2025</v>
      </c>
      <c r="N60" s="281">
        <f>M19</f>
        <v>103.74237500000001</v>
      </c>
      <c r="O60" s="70"/>
      <c r="P60" s="369">
        <f t="shared" si="3"/>
        <v>627.39487500000007</v>
      </c>
    </row>
    <row r="61" spans="1:16">
      <c r="A61" s="70"/>
      <c r="B61" s="385" t="s">
        <v>442</v>
      </c>
      <c r="C61" s="164">
        <f>I13*H15+I19*H18</f>
        <v>107.63500000000001</v>
      </c>
      <c r="D61" s="165"/>
      <c r="E61" s="389" t="s">
        <v>436</v>
      </c>
      <c r="F61" s="70"/>
      <c r="G61" s="70"/>
      <c r="H61" s="373">
        <v>21</v>
      </c>
      <c r="I61" s="387">
        <f t="shared" si="0"/>
        <v>100</v>
      </c>
      <c r="J61" s="388">
        <f t="shared" si="6"/>
        <v>95</v>
      </c>
      <c r="K61" s="387">
        <f t="shared" si="5"/>
        <v>104.5</v>
      </c>
      <c r="L61" s="388">
        <f t="shared" ref="L61:L68" si="7">$I$19</f>
        <v>99.275000000000006</v>
      </c>
      <c r="M61" s="387">
        <f>K16</f>
        <v>109.2025</v>
      </c>
      <c r="N61" s="281">
        <f>M13</f>
        <v>120.12275000000004</v>
      </c>
      <c r="O61" s="70"/>
      <c r="P61" s="369">
        <f t="shared" si="3"/>
        <v>628.10024999999996</v>
      </c>
    </row>
    <row r="62" spans="1:16">
      <c r="A62" s="70"/>
      <c r="B62" s="385"/>
      <c r="C62" s="164"/>
      <c r="D62" s="165"/>
      <c r="E62" s="389"/>
      <c r="F62" s="70"/>
      <c r="G62" s="70"/>
      <c r="H62" s="373">
        <v>22</v>
      </c>
      <c r="I62" s="387">
        <f t="shared" si="0"/>
        <v>100</v>
      </c>
      <c r="J62" s="388">
        <f t="shared" si="6"/>
        <v>95</v>
      </c>
      <c r="K62" s="387">
        <f t="shared" si="5"/>
        <v>104.5</v>
      </c>
      <c r="L62" s="388">
        <f t="shared" si="7"/>
        <v>99.275000000000006</v>
      </c>
      <c r="M62" s="387">
        <f>K16</f>
        <v>109.2025</v>
      </c>
      <c r="N62" s="281">
        <f>M19</f>
        <v>103.74237500000001</v>
      </c>
      <c r="O62" s="70"/>
      <c r="P62" s="369">
        <f t="shared" si="3"/>
        <v>611.719875</v>
      </c>
    </row>
    <row r="63" spans="1:16">
      <c r="A63" s="70"/>
      <c r="B63" s="382"/>
      <c r="C63" s="291">
        <f>I19*H21+I25*H24</f>
        <v>92.957499999999996</v>
      </c>
      <c r="D63" s="169"/>
      <c r="E63" s="391" t="s">
        <v>437</v>
      </c>
      <c r="F63" s="70"/>
      <c r="G63" s="70"/>
      <c r="H63" s="373">
        <v>23</v>
      </c>
      <c r="I63" s="387">
        <f t="shared" si="0"/>
        <v>100</v>
      </c>
      <c r="J63" s="388">
        <f t="shared" si="6"/>
        <v>95</v>
      </c>
      <c r="K63" s="387">
        <f t="shared" si="5"/>
        <v>104.5</v>
      </c>
      <c r="L63" s="388">
        <f t="shared" si="7"/>
        <v>99.275000000000006</v>
      </c>
      <c r="M63" s="387">
        <f>K22</f>
        <v>94.311249999999987</v>
      </c>
      <c r="N63" s="281">
        <f>M19</f>
        <v>103.74237500000001</v>
      </c>
      <c r="O63" s="70"/>
      <c r="P63" s="369">
        <f t="shared" si="3"/>
        <v>596.82862499999999</v>
      </c>
    </row>
    <row r="64" spans="1:16">
      <c r="A64" s="70"/>
      <c r="B64" s="379"/>
      <c r="C64" s="70"/>
      <c r="D64" s="70"/>
      <c r="E64" s="392"/>
      <c r="F64" s="70"/>
      <c r="G64" s="70"/>
      <c r="H64" s="373">
        <v>24</v>
      </c>
      <c r="I64" s="387">
        <f t="shared" si="0"/>
        <v>100</v>
      </c>
      <c r="J64" s="388">
        <f t="shared" si="6"/>
        <v>95</v>
      </c>
      <c r="K64" s="387">
        <f t="shared" si="5"/>
        <v>104.5</v>
      </c>
      <c r="L64" s="388">
        <f t="shared" si="7"/>
        <v>99.275000000000006</v>
      </c>
      <c r="M64" s="387">
        <f>K22</f>
        <v>94.311249999999987</v>
      </c>
      <c r="N64" s="281">
        <f>M25</f>
        <v>89.595687500000011</v>
      </c>
      <c r="O64" s="70"/>
      <c r="P64" s="369">
        <f t="shared" si="3"/>
        <v>582.6819375</v>
      </c>
    </row>
    <row r="65" spans="1:16">
      <c r="A65" s="70"/>
      <c r="B65" s="384"/>
      <c r="C65" s="158">
        <f>G10*F12+G16*F15</f>
        <v>112.20000000000002</v>
      </c>
      <c r="D65" s="159"/>
      <c r="E65" s="393" t="s">
        <v>438</v>
      </c>
      <c r="F65" s="70"/>
      <c r="G65" s="70"/>
      <c r="H65" s="373">
        <v>25</v>
      </c>
      <c r="I65" s="387">
        <f t="shared" si="0"/>
        <v>100</v>
      </c>
      <c r="J65" s="388">
        <f t="shared" si="6"/>
        <v>95</v>
      </c>
      <c r="K65" s="387">
        <f t="shared" ref="K65:K72" si="8">$G$22</f>
        <v>90.25</v>
      </c>
      <c r="L65" s="388">
        <f t="shared" si="7"/>
        <v>99.275000000000006</v>
      </c>
      <c r="M65" s="387">
        <f>K16</f>
        <v>109.2025</v>
      </c>
      <c r="N65" s="281">
        <f>M13</f>
        <v>120.12275000000004</v>
      </c>
      <c r="O65" s="70"/>
      <c r="P65" s="369">
        <f t="shared" si="3"/>
        <v>613.85024999999996</v>
      </c>
    </row>
    <row r="66" spans="1:16">
      <c r="A66" s="70"/>
      <c r="B66" s="385" t="s">
        <v>443</v>
      </c>
      <c r="C66" s="164"/>
      <c r="D66" s="165"/>
      <c r="E66" s="389"/>
      <c r="F66" s="70"/>
      <c r="G66" s="70"/>
      <c r="H66" s="373">
        <v>26</v>
      </c>
      <c r="I66" s="387">
        <f t="shared" si="0"/>
        <v>100</v>
      </c>
      <c r="J66" s="388">
        <f t="shared" si="6"/>
        <v>95</v>
      </c>
      <c r="K66" s="387">
        <f t="shared" si="8"/>
        <v>90.25</v>
      </c>
      <c r="L66" s="388">
        <f t="shared" si="7"/>
        <v>99.275000000000006</v>
      </c>
      <c r="M66" s="387">
        <f>K16</f>
        <v>109.2025</v>
      </c>
      <c r="N66" s="281">
        <f>M19</f>
        <v>103.74237500000001</v>
      </c>
      <c r="O66" s="70"/>
      <c r="P66" s="369">
        <f t="shared" si="3"/>
        <v>597.469875</v>
      </c>
    </row>
    <row r="67" spans="1:16">
      <c r="A67" s="70"/>
      <c r="B67" s="382"/>
      <c r="C67" s="291">
        <f>G16*F18+G22*F21</f>
        <v>96.9</v>
      </c>
      <c r="D67" s="169"/>
      <c r="E67" s="394" t="s">
        <v>439</v>
      </c>
      <c r="F67" s="70"/>
      <c r="G67" s="70"/>
      <c r="H67" s="373">
        <v>27</v>
      </c>
      <c r="I67" s="387">
        <f t="shared" si="0"/>
        <v>100</v>
      </c>
      <c r="J67" s="388">
        <f t="shared" si="6"/>
        <v>95</v>
      </c>
      <c r="K67" s="387">
        <f t="shared" si="8"/>
        <v>90.25</v>
      </c>
      <c r="L67" s="388">
        <f t="shared" si="7"/>
        <v>99.275000000000006</v>
      </c>
      <c r="M67" s="387">
        <f>K22</f>
        <v>94.311249999999987</v>
      </c>
      <c r="N67" s="281">
        <f>M19</f>
        <v>103.74237500000001</v>
      </c>
      <c r="O67" s="70"/>
      <c r="P67" s="369">
        <f t="shared" si="3"/>
        <v>582.57862499999999</v>
      </c>
    </row>
    <row r="68" spans="1:16">
      <c r="A68" s="70"/>
      <c r="B68" s="379"/>
      <c r="C68" s="70"/>
      <c r="D68" s="70"/>
      <c r="E68" s="70"/>
      <c r="F68" s="70"/>
      <c r="G68" s="70"/>
      <c r="H68" s="373">
        <v>28</v>
      </c>
      <c r="I68" s="387">
        <f t="shared" si="0"/>
        <v>100</v>
      </c>
      <c r="J68" s="388">
        <f t="shared" si="6"/>
        <v>95</v>
      </c>
      <c r="K68" s="387">
        <f t="shared" si="8"/>
        <v>90.25</v>
      </c>
      <c r="L68" s="388">
        <f t="shared" si="7"/>
        <v>99.275000000000006</v>
      </c>
      <c r="M68" s="387">
        <f>K22</f>
        <v>94.311249999999987</v>
      </c>
      <c r="N68" s="281">
        <f>M25</f>
        <v>89.595687500000011</v>
      </c>
      <c r="O68" s="70"/>
      <c r="P68" s="369">
        <f t="shared" si="3"/>
        <v>568.4319375</v>
      </c>
    </row>
    <row r="69" spans="1:16">
      <c r="A69" s="70"/>
      <c r="B69" s="379"/>
      <c r="C69" s="70"/>
      <c r="D69" s="70"/>
      <c r="E69" s="70"/>
      <c r="F69" s="70"/>
      <c r="G69" s="70"/>
      <c r="H69" s="373">
        <v>29</v>
      </c>
      <c r="I69" s="387">
        <f t="shared" si="0"/>
        <v>100</v>
      </c>
      <c r="J69" s="388">
        <f t="shared" si="6"/>
        <v>95</v>
      </c>
      <c r="K69" s="387">
        <f t="shared" si="8"/>
        <v>90.25</v>
      </c>
      <c r="L69" s="388">
        <f>$I$25</f>
        <v>85.737499999999983</v>
      </c>
      <c r="M69" s="387">
        <f>K22</f>
        <v>94.311249999999987</v>
      </c>
      <c r="N69" s="281">
        <f>M19</f>
        <v>103.74237500000001</v>
      </c>
      <c r="O69" s="70"/>
      <c r="P69" s="369">
        <f t="shared" si="3"/>
        <v>569.04112499999997</v>
      </c>
    </row>
    <row r="70" spans="1:16">
      <c r="A70" s="70"/>
      <c r="B70" s="379"/>
      <c r="C70" s="70"/>
      <c r="D70" s="70"/>
      <c r="E70" s="70"/>
      <c r="F70" s="70"/>
      <c r="G70" s="70"/>
      <c r="H70" s="373">
        <v>30</v>
      </c>
      <c r="I70" s="387">
        <f t="shared" si="0"/>
        <v>100</v>
      </c>
      <c r="J70" s="388">
        <f t="shared" si="6"/>
        <v>95</v>
      </c>
      <c r="K70" s="387">
        <f t="shared" si="8"/>
        <v>90.25</v>
      </c>
      <c r="L70" s="388">
        <f>$I$25</f>
        <v>85.737499999999983</v>
      </c>
      <c r="M70" s="387">
        <f>K22</f>
        <v>94.311249999999987</v>
      </c>
      <c r="N70" s="281">
        <f>M25</f>
        <v>89.595687500000011</v>
      </c>
      <c r="O70" s="70"/>
      <c r="P70" s="369">
        <f t="shared" si="3"/>
        <v>554.89443749999998</v>
      </c>
    </row>
    <row r="71" spans="1:16">
      <c r="A71" s="70"/>
      <c r="B71" s="379"/>
      <c r="C71" s="70"/>
      <c r="D71" s="70"/>
      <c r="E71" s="70"/>
      <c r="F71" s="70"/>
      <c r="G71" s="70"/>
      <c r="H71" s="373">
        <v>31</v>
      </c>
      <c r="I71" s="387">
        <f t="shared" si="0"/>
        <v>100</v>
      </c>
      <c r="J71" s="388">
        <f t="shared" si="6"/>
        <v>95</v>
      </c>
      <c r="K71" s="387">
        <f t="shared" si="8"/>
        <v>90.25</v>
      </c>
      <c r="L71" s="388">
        <f>$I$25</f>
        <v>85.737499999999983</v>
      </c>
      <c r="M71" s="387">
        <f>K28</f>
        <v>81.450625000000002</v>
      </c>
      <c r="N71" s="281">
        <f>M25</f>
        <v>89.595687500000011</v>
      </c>
      <c r="O71" s="70"/>
      <c r="P71" s="369">
        <f t="shared" si="3"/>
        <v>542.03381249999995</v>
      </c>
    </row>
    <row r="72" spans="1:16">
      <c r="A72" s="70"/>
      <c r="B72" s="379"/>
      <c r="C72" s="70"/>
      <c r="D72" s="70"/>
      <c r="E72" s="70"/>
      <c r="F72" s="70"/>
      <c r="G72" s="70"/>
      <c r="H72" s="373">
        <v>32</v>
      </c>
      <c r="I72" s="395">
        <f t="shared" si="0"/>
        <v>100</v>
      </c>
      <c r="J72" s="167">
        <f t="shared" si="6"/>
        <v>95</v>
      </c>
      <c r="K72" s="395">
        <f t="shared" si="8"/>
        <v>90.25</v>
      </c>
      <c r="L72" s="167">
        <f>$I$25</f>
        <v>85.737499999999983</v>
      </c>
      <c r="M72" s="395">
        <f>K28</f>
        <v>81.450625000000002</v>
      </c>
      <c r="N72" s="396">
        <f>M31</f>
        <v>77.378093750000005</v>
      </c>
      <c r="O72" s="70"/>
      <c r="P72" s="369">
        <f t="shared" si="3"/>
        <v>529.81621874999996</v>
      </c>
    </row>
    <row r="73" spans="1:16">
      <c r="A73" s="70"/>
      <c r="B73" s="366"/>
      <c r="C73" s="363"/>
      <c r="D73" s="363"/>
      <c r="E73" s="363"/>
      <c r="F73" s="363"/>
      <c r="G73" s="363"/>
      <c r="H73" s="363"/>
      <c r="I73" s="363"/>
      <c r="J73" s="363"/>
      <c r="K73" s="363"/>
      <c r="L73" s="363"/>
      <c r="M73" s="363"/>
      <c r="N73" s="363"/>
      <c r="O73" s="363"/>
    </row>
  </sheetData>
  <phoneticPr fontId="0" type="noConversion"/>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5"/>
  <dimension ref="A1:T381"/>
  <sheetViews>
    <sheetView workbookViewId="0">
      <selection activeCell="E2" sqref="E2"/>
    </sheetView>
  </sheetViews>
  <sheetFormatPr baseColWidth="10" defaultRowHeight="12.75"/>
  <cols>
    <col min="1" max="1" width="4.42578125" style="10" customWidth="1"/>
    <col min="2" max="2" width="8.5703125" style="11" customWidth="1"/>
    <col min="3" max="3" width="5.85546875" style="11" customWidth="1"/>
    <col min="4" max="4" width="7.5703125" style="11" customWidth="1"/>
    <col min="5" max="5" width="10.7109375" style="11" customWidth="1"/>
    <col min="6" max="6" width="9.7109375" style="11" customWidth="1"/>
    <col min="7" max="7" width="10.42578125" style="11" customWidth="1"/>
    <col min="8" max="8" width="10.85546875" style="11" customWidth="1"/>
    <col min="9" max="9" width="9.7109375" style="11" customWidth="1"/>
    <col min="10" max="10" width="11.140625" style="11" customWidth="1"/>
    <col min="11" max="11" width="4.7109375" style="11" customWidth="1"/>
    <col min="12" max="12" width="7.42578125" style="11" customWidth="1"/>
    <col min="13" max="13" width="12.28515625" style="11" customWidth="1"/>
    <col min="14" max="14" width="10.28515625" style="11" customWidth="1"/>
    <col min="15" max="15" width="10.7109375" style="11" customWidth="1"/>
    <col min="16" max="16" width="9.7109375" style="11" customWidth="1"/>
    <col min="17" max="18" width="11.42578125" style="11"/>
    <col min="19" max="19" width="13.140625" style="11" customWidth="1"/>
    <col min="20" max="16384" width="11.42578125" style="11"/>
  </cols>
  <sheetData>
    <row r="1" spans="1:20">
      <c r="A1" s="3" t="s">
        <v>534</v>
      </c>
      <c r="B1" s="9"/>
      <c r="C1" s="9"/>
      <c r="D1" s="9"/>
      <c r="E1" s="9"/>
      <c r="F1" s="9"/>
      <c r="G1" s="9"/>
      <c r="H1" s="9"/>
      <c r="I1" s="9"/>
      <c r="J1" s="9"/>
      <c r="K1" s="10"/>
      <c r="L1" s="10"/>
      <c r="M1" s="10"/>
      <c r="N1" s="10"/>
      <c r="O1" s="10"/>
      <c r="P1" s="10"/>
      <c r="Q1" s="10"/>
      <c r="R1" s="10"/>
      <c r="S1" s="10"/>
      <c r="T1" s="10"/>
    </row>
    <row r="2" spans="1:20">
      <c r="A2" s="12" t="s">
        <v>17</v>
      </c>
      <c r="B2" s="13"/>
      <c r="C2" s="13"/>
      <c r="D2" s="14"/>
      <c r="E2" s="15">
        <v>100000</v>
      </c>
      <c r="F2" s="9"/>
      <c r="G2" s="10"/>
      <c r="H2" s="10"/>
      <c r="I2" s="10"/>
      <c r="J2" s="10"/>
      <c r="K2" s="10"/>
      <c r="L2" s="10"/>
      <c r="M2" s="10"/>
      <c r="N2" s="10"/>
      <c r="O2" s="10"/>
      <c r="P2" s="10"/>
      <c r="Q2" s="10"/>
      <c r="R2" s="10"/>
      <c r="S2" s="10"/>
      <c r="T2" s="10"/>
    </row>
    <row r="3" spans="1:20">
      <c r="A3" s="16">
        <v>1</v>
      </c>
      <c r="B3" s="13" t="s">
        <v>18</v>
      </c>
      <c r="C3" s="13"/>
      <c r="D3" s="14"/>
      <c r="E3" s="9"/>
      <c r="F3" s="9"/>
      <c r="G3" s="9"/>
      <c r="H3" s="10"/>
      <c r="I3" s="10"/>
      <c r="J3" s="10"/>
      <c r="K3" s="10"/>
      <c r="L3" s="10"/>
      <c r="M3" s="10"/>
      <c r="N3" s="10"/>
      <c r="O3" s="10"/>
      <c r="P3" s="10"/>
      <c r="Q3" s="10"/>
      <c r="R3" s="10"/>
      <c r="S3" s="10"/>
      <c r="T3" s="10"/>
    </row>
    <row r="4" spans="1:20">
      <c r="A4" s="17" t="s">
        <v>19</v>
      </c>
      <c r="B4" s="13"/>
      <c r="C4" s="13"/>
      <c r="D4" s="14"/>
      <c r="E4" s="18">
        <v>5</v>
      </c>
      <c r="F4" s="9"/>
      <c r="G4" s="10"/>
      <c r="H4" s="10"/>
      <c r="I4" s="10"/>
      <c r="J4" s="10"/>
      <c r="K4" s="10"/>
      <c r="L4" s="10"/>
      <c r="M4" s="10"/>
      <c r="N4" s="10"/>
      <c r="O4" s="10"/>
      <c r="P4" s="10"/>
      <c r="Q4" s="10"/>
      <c r="R4" s="10"/>
      <c r="S4" s="10"/>
      <c r="T4" s="10"/>
    </row>
    <row r="5" spans="1:20">
      <c r="A5" s="17" t="s">
        <v>20</v>
      </c>
      <c r="B5" s="13"/>
      <c r="C5" s="13"/>
      <c r="D5" s="14"/>
      <c r="E5" s="19">
        <v>37928</v>
      </c>
      <c r="F5" s="9"/>
      <c r="G5" s="10"/>
      <c r="H5" s="10"/>
      <c r="I5" s="20"/>
      <c r="J5" s="20"/>
      <c r="K5" s="10"/>
      <c r="L5" s="10"/>
      <c r="M5" s="10"/>
      <c r="N5" s="10"/>
      <c r="O5" s="10"/>
      <c r="P5" s="10"/>
      <c r="Q5" s="10"/>
      <c r="R5" s="10"/>
      <c r="S5" s="10"/>
      <c r="T5" s="10"/>
    </row>
    <row r="6" spans="1:20">
      <c r="B6" s="10"/>
      <c r="C6" s="10"/>
      <c r="D6" s="10"/>
      <c r="E6" s="10"/>
      <c r="F6" s="9"/>
      <c r="G6" s="10"/>
      <c r="H6" s="10"/>
      <c r="I6" s="10"/>
      <c r="J6" s="10"/>
      <c r="K6" s="20"/>
      <c r="L6" s="21" t="s">
        <v>21</v>
      </c>
      <c r="M6" s="10"/>
      <c r="N6" s="10"/>
      <c r="O6" s="10"/>
      <c r="P6" s="10"/>
      <c r="Q6" s="10"/>
      <c r="R6" s="10"/>
      <c r="S6" s="10"/>
      <c r="T6" s="10"/>
    </row>
    <row r="7" spans="1:20">
      <c r="A7" s="21" t="s">
        <v>22</v>
      </c>
      <c r="B7" s="10"/>
      <c r="C7" s="10"/>
      <c r="D7" s="10"/>
      <c r="E7" s="10"/>
      <c r="F7" s="10"/>
      <c r="G7" s="10"/>
      <c r="H7" s="10"/>
      <c r="I7" s="10"/>
      <c r="J7" s="10"/>
      <c r="K7" s="20"/>
      <c r="L7" s="9" t="s">
        <v>23</v>
      </c>
      <c r="M7" s="10"/>
      <c r="N7" s="10">
        <f>A3</f>
        <v>1</v>
      </c>
      <c r="O7" s="9" t="s">
        <v>24</v>
      </c>
      <c r="P7" s="9" t="s">
        <v>25</v>
      </c>
      <c r="Q7" s="10">
        <f>-N7</f>
        <v>-1</v>
      </c>
      <c r="R7" s="9" t="s">
        <v>26</v>
      </c>
      <c r="S7" s="10"/>
      <c r="T7" s="10"/>
    </row>
    <row r="8" spans="1:20" ht="57.75" customHeight="1" thickBot="1">
      <c r="A8" s="312" t="s">
        <v>27</v>
      </c>
      <c r="B8" s="211" t="s">
        <v>28</v>
      </c>
      <c r="C8" s="22" t="s">
        <v>29</v>
      </c>
      <c r="D8" s="22" t="s">
        <v>409</v>
      </c>
      <c r="E8" s="22" t="s">
        <v>30</v>
      </c>
      <c r="F8" s="22" t="s">
        <v>532</v>
      </c>
      <c r="G8" s="23" t="s">
        <v>31</v>
      </c>
      <c r="H8" s="24" t="s">
        <v>32</v>
      </c>
      <c r="I8" s="24" t="s">
        <v>33</v>
      </c>
      <c r="J8" s="24" t="s">
        <v>34</v>
      </c>
      <c r="K8" s="25" t="s">
        <v>35</v>
      </c>
      <c r="L8" s="26" t="s">
        <v>36</v>
      </c>
      <c r="M8" s="23" t="s">
        <v>37</v>
      </c>
      <c r="N8" s="27" t="s">
        <v>10</v>
      </c>
      <c r="O8" s="23" t="s">
        <v>38</v>
      </c>
      <c r="P8" s="27" t="s">
        <v>10</v>
      </c>
      <c r="Q8" s="28" t="s">
        <v>28</v>
      </c>
      <c r="R8" s="28" t="s">
        <v>39</v>
      </c>
      <c r="S8" s="23" t="s">
        <v>40</v>
      </c>
      <c r="T8" s="10"/>
    </row>
    <row r="9" spans="1:20" ht="12.75" customHeight="1">
      <c r="A9" s="29">
        <v>1</v>
      </c>
      <c r="B9" s="30">
        <f t="shared" ref="B9:B38" si="0">IF(A9=" "," ",IF(WEEKDAY(EDATE($E$5,6*A9))=7,EDATE($E$5,6*A9)+2,IF(WEEKDAY(EDATE($E$5,6*A9))=1,EDATE($E$5,6*A9)+1,EDATE($E$5,6*A9))))</f>
        <v>38110</v>
      </c>
      <c r="C9" s="31">
        <f>IF(A9=" "," ",(B9-$E$5)/360)</f>
        <v>0.50555555555555554</v>
      </c>
      <c r="D9" s="32">
        <v>0.03</v>
      </c>
      <c r="E9" s="33">
        <f>IF(A9=" "," ",1/(1+D9*C9))</f>
        <v>0.98505992447873902</v>
      </c>
      <c r="F9" s="34">
        <f>D9</f>
        <v>0.03</v>
      </c>
      <c r="G9" s="35">
        <f>IF(A9=" "," ",$E$2*$E$3*(B9-E5)/360)</f>
        <v>0</v>
      </c>
      <c r="H9" s="36">
        <f>IF(A9=" "," ",A3*D9*C9*$E$2)</f>
        <v>1516.6666666666665</v>
      </c>
      <c r="I9" s="35">
        <f t="shared" ref="I9:I38" si="1">IF(C9=" "," ",G9+H9)</f>
        <v>1516.6666666666665</v>
      </c>
      <c r="J9" s="35">
        <f t="shared" ref="J9:J38" si="2">IF(C9=" "," ",I9*E9)</f>
        <v>1494.0075521260874</v>
      </c>
      <c r="K9" s="25"/>
      <c r="L9" s="37">
        <f t="shared" ref="L9:L38" si="3">C9</f>
        <v>0.50555555555555554</v>
      </c>
      <c r="M9" s="35">
        <f>IF(C9=" "," ",G9+IF(A9=2*$E$4,3*$E$2,0))</f>
        <v>0</v>
      </c>
      <c r="N9" s="35">
        <f t="shared" ref="N9:N38" si="4">IF(C9=" ","", M9*E9)</f>
        <v>0</v>
      </c>
      <c r="O9" s="38">
        <f>A3*E2*(1+D9*C9)</f>
        <v>101516.66666666667</v>
      </c>
      <c r="P9" s="39">
        <f>O9*E9</f>
        <v>100000</v>
      </c>
      <c r="Q9" s="40">
        <f t="shared" ref="Q9:Q38" si="5">B9</f>
        <v>38110</v>
      </c>
      <c r="R9" s="41">
        <f t="shared" ref="R9:R38" si="6">IF(C9=" "," ",O9+M9)</f>
        <v>101516.66666666667</v>
      </c>
      <c r="S9" s="42">
        <f t="shared" ref="S9:S38" si="7">IF(C9=" "," ",P9+N9)</f>
        <v>100000</v>
      </c>
      <c r="T9" s="10"/>
    </row>
    <row r="10" spans="1:20" ht="12.75" customHeight="1">
      <c r="A10" s="29">
        <f t="shared" ref="A10:A38" si="8">IF(A9=" "," ",IF($E$4&gt;A9/2,A9+1," "))</f>
        <v>2</v>
      </c>
      <c r="B10" s="30">
        <f t="shared" si="0"/>
        <v>38294</v>
      </c>
      <c r="C10" s="31">
        <f>IF(A10=" "," ",(B10-$E$5)/360)</f>
        <v>1.0166666666666666</v>
      </c>
      <c r="D10" s="32">
        <v>0.04</v>
      </c>
      <c r="E10" s="33">
        <f>IF(A10=" "," ",1/(1+D10*C10))</f>
        <v>0.96092248558616278</v>
      </c>
      <c r="F10" s="34">
        <f>(E9/E10-1)*360/(B10-B9)</f>
        <v>4.9145924493015143E-2</v>
      </c>
      <c r="G10" s="35">
        <f>IF(A10=" "," ",IF(A10=2*$E$4,$E$2,0))</f>
        <v>0</v>
      </c>
      <c r="H10" s="36">
        <f t="shared" ref="H10:H38" si="9">IF(A10=" "," ",$A$3*F10*(B10-B9)/360*$E$2)</f>
        <v>2511.902807420774</v>
      </c>
      <c r="I10" s="35">
        <f t="shared" si="1"/>
        <v>2511.902807420774</v>
      </c>
      <c r="J10" s="35">
        <f t="shared" si="2"/>
        <v>2413.7438892576306</v>
      </c>
      <c r="K10" s="43" t="e">
        <f>#REF!</f>
        <v>#REF!</v>
      </c>
      <c r="L10" s="37">
        <f t="shared" si="3"/>
        <v>1.0166666666666666</v>
      </c>
      <c r="M10" s="35">
        <f t="shared" ref="M10:M38" si="10">IF(C10=" "," ",G10+IF(A10=2*$E$4,$Q$7*$E$2,0))</f>
        <v>0</v>
      </c>
      <c r="N10" s="35">
        <f t="shared" si="4"/>
        <v>0</v>
      </c>
      <c r="O10" s="44"/>
      <c r="P10" s="45"/>
      <c r="Q10" s="46">
        <f t="shared" si="5"/>
        <v>38294</v>
      </c>
      <c r="R10" s="47">
        <f t="shared" si="6"/>
        <v>0</v>
      </c>
      <c r="S10" s="42">
        <f t="shared" si="7"/>
        <v>0</v>
      </c>
      <c r="T10" s="10"/>
    </row>
    <row r="11" spans="1:20">
      <c r="A11" s="29">
        <f t="shared" si="8"/>
        <v>3</v>
      </c>
      <c r="B11" s="30">
        <f t="shared" si="0"/>
        <v>38475</v>
      </c>
      <c r="C11" s="48">
        <f t="shared" ref="C11:C38" si="11">IF(A11=" "," ",DAYS360($E$5,B11)/360)</f>
        <v>1.5</v>
      </c>
      <c r="D11" s="49">
        <f>(D10+D12)/2</f>
        <v>4.1250000000000002E-2</v>
      </c>
      <c r="E11" s="33">
        <f t="shared" ref="E11:E38" si="12">IF(A11=" "," ",1/(1+D11)^C11)</f>
        <v>0.94116870597843982</v>
      </c>
      <c r="F11" s="34">
        <f t="shared" ref="F11:F38" si="13">IF(A11=" "," ",(E10/E11-1)*360/(B11-B10))</f>
        <v>4.1745210139324203E-2</v>
      </c>
      <c r="G11" s="35">
        <f t="shared" ref="G11:G38" si="14">IF(A11=" "," ",IF(A11=2*$E$4,$E$2,0))</f>
        <v>0</v>
      </c>
      <c r="H11" s="36">
        <f t="shared" si="9"/>
        <v>2098.8563986715781</v>
      </c>
      <c r="I11" s="35">
        <f t="shared" si="1"/>
        <v>2098.8563986715781</v>
      </c>
      <c r="J11" s="35">
        <f t="shared" si="2"/>
        <v>1975.3779607722975</v>
      </c>
      <c r="K11" s="43"/>
      <c r="L11" s="37">
        <f t="shared" si="3"/>
        <v>1.5</v>
      </c>
      <c r="M11" s="35">
        <f t="shared" si="10"/>
        <v>0</v>
      </c>
      <c r="N11" s="35">
        <f t="shared" si="4"/>
        <v>0</v>
      </c>
      <c r="O11" s="50"/>
      <c r="P11" s="45"/>
      <c r="Q11" s="46">
        <f t="shared" si="5"/>
        <v>38475</v>
      </c>
      <c r="R11" s="47">
        <f t="shared" si="6"/>
        <v>0</v>
      </c>
      <c r="S11" s="42">
        <f t="shared" si="7"/>
        <v>0</v>
      </c>
      <c r="T11" s="10"/>
    </row>
    <row r="12" spans="1:20">
      <c r="A12" s="29">
        <f t="shared" si="8"/>
        <v>4</v>
      </c>
      <c r="B12" s="30">
        <f t="shared" si="0"/>
        <v>38659</v>
      </c>
      <c r="C12" s="48">
        <f t="shared" si="11"/>
        <v>2</v>
      </c>
      <c r="D12" s="32">
        <v>4.2500000000000003E-2</v>
      </c>
      <c r="E12" s="33">
        <f t="shared" si="12"/>
        <v>0.92012720758644884</v>
      </c>
      <c r="F12" s="34">
        <f t="shared" si="13"/>
        <v>4.474180166435348E-2</v>
      </c>
      <c r="G12" s="35">
        <f t="shared" si="14"/>
        <v>0</v>
      </c>
      <c r="H12" s="36">
        <f t="shared" si="9"/>
        <v>2286.8031961780666</v>
      </c>
      <c r="I12" s="35">
        <f t="shared" si="1"/>
        <v>2286.8031961780666</v>
      </c>
      <c r="J12" s="35">
        <f t="shared" si="2"/>
        <v>2104.1498391990908</v>
      </c>
      <c r="K12" s="43" t="e">
        <f>#REF!</f>
        <v>#REF!</v>
      </c>
      <c r="L12" s="37">
        <f t="shared" si="3"/>
        <v>2</v>
      </c>
      <c r="M12" s="35">
        <f t="shared" si="10"/>
        <v>0</v>
      </c>
      <c r="N12" s="35">
        <f t="shared" si="4"/>
        <v>0</v>
      </c>
      <c r="O12" s="51"/>
      <c r="P12" s="52"/>
      <c r="Q12" s="46">
        <f t="shared" si="5"/>
        <v>38659</v>
      </c>
      <c r="R12" s="47">
        <f t="shared" si="6"/>
        <v>0</v>
      </c>
      <c r="S12" s="42">
        <f t="shared" si="7"/>
        <v>0</v>
      </c>
      <c r="T12" s="10"/>
    </row>
    <row r="13" spans="1:20">
      <c r="A13" s="29">
        <f t="shared" si="8"/>
        <v>5</v>
      </c>
      <c r="B13" s="30">
        <f t="shared" si="0"/>
        <v>38840</v>
      </c>
      <c r="C13" s="48">
        <f t="shared" si="11"/>
        <v>2.5</v>
      </c>
      <c r="D13" s="49">
        <f>(D12+D14)/2</f>
        <v>4.3749999999999997E-2</v>
      </c>
      <c r="E13" s="33">
        <f t="shared" si="12"/>
        <v>0.89848075415750639</v>
      </c>
      <c r="F13" s="34">
        <f t="shared" si="13"/>
        <v>4.7918354764926979E-2</v>
      </c>
      <c r="G13" s="35">
        <f t="shared" si="14"/>
        <v>0</v>
      </c>
      <c r="H13" s="36">
        <f t="shared" si="9"/>
        <v>2409.2283923477175</v>
      </c>
      <c r="I13" s="35">
        <f t="shared" si="1"/>
        <v>2409.2283923477175</v>
      </c>
      <c r="J13" s="35">
        <f t="shared" si="2"/>
        <v>2164.6453428942541</v>
      </c>
      <c r="K13" s="43"/>
      <c r="L13" s="37">
        <f t="shared" si="3"/>
        <v>2.5</v>
      </c>
      <c r="M13" s="35">
        <f t="shared" si="10"/>
        <v>0</v>
      </c>
      <c r="N13" s="35">
        <f t="shared" si="4"/>
        <v>0</v>
      </c>
      <c r="O13" s="51"/>
      <c r="P13" s="52"/>
      <c r="Q13" s="46">
        <f t="shared" si="5"/>
        <v>38840</v>
      </c>
      <c r="R13" s="47">
        <f t="shared" si="6"/>
        <v>0</v>
      </c>
      <c r="S13" s="42">
        <f t="shared" si="7"/>
        <v>0</v>
      </c>
      <c r="T13" s="10"/>
    </row>
    <row r="14" spans="1:20">
      <c r="A14" s="29">
        <f t="shared" si="8"/>
        <v>6</v>
      </c>
      <c r="B14" s="30">
        <f t="shared" si="0"/>
        <v>39024</v>
      </c>
      <c r="C14" s="48">
        <f t="shared" si="11"/>
        <v>3</v>
      </c>
      <c r="D14" s="32">
        <v>4.4999999999999998E-2</v>
      </c>
      <c r="E14" s="33">
        <f t="shared" si="12"/>
        <v>0.87629660405490928</v>
      </c>
      <c r="F14" s="34">
        <f t="shared" si="13"/>
        <v>4.9530914234998183E-2</v>
      </c>
      <c r="G14" s="35">
        <f t="shared" si="14"/>
        <v>0</v>
      </c>
      <c r="H14" s="36">
        <f t="shared" si="9"/>
        <v>2531.5800608999075</v>
      </c>
      <c r="I14" s="35">
        <f t="shared" si="1"/>
        <v>2531.5800608999075</v>
      </c>
      <c r="J14" s="35">
        <f t="shared" si="2"/>
        <v>2218.4150102597096</v>
      </c>
      <c r="K14" s="43" t="e">
        <f>#REF!</f>
        <v>#REF!</v>
      </c>
      <c r="L14" s="37">
        <f t="shared" si="3"/>
        <v>3</v>
      </c>
      <c r="M14" s="35">
        <f t="shared" si="10"/>
        <v>0</v>
      </c>
      <c r="N14" s="35">
        <f t="shared" si="4"/>
        <v>0</v>
      </c>
      <c r="O14" s="51"/>
      <c r="P14" s="52"/>
      <c r="Q14" s="46">
        <f t="shared" si="5"/>
        <v>39024</v>
      </c>
      <c r="R14" s="47">
        <f t="shared" si="6"/>
        <v>0</v>
      </c>
      <c r="S14" s="42">
        <f t="shared" si="7"/>
        <v>0</v>
      </c>
      <c r="T14" s="10"/>
    </row>
    <row r="15" spans="1:20">
      <c r="A15" s="29">
        <f t="shared" si="8"/>
        <v>7</v>
      </c>
      <c r="B15" s="30">
        <f t="shared" si="0"/>
        <v>39205</v>
      </c>
      <c r="C15" s="48">
        <f t="shared" si="11"/>
        <v>3.5</v>
      </c>
      <c r="D15" s="49">
        <f>(D14+D16)/2</f>
        <v>4.675E-2</v>
      </c>
      <c r="E15" s="33">
        <f t="shared" si="12"/>
        <v>0.85221584868668165</v>
      </c>
      <c r="F15" s="34">
        <f t="shared" si="13"/>
        <v>5.6201049435525736E-2</v>
      </c>
      <c r="G15" s="35">
        <f t="shared" si="14"/>
        <v>0</v>
      </c>
      <c r="H15" s="36">
        <f t="shared" si="9"/>
        <v>2825.6638743972662</v>
      </c>
      <c r="I15" s="35">
        <f t="shared" si="1"/>
        <v>2825.6638743972662</v>
      </c>
      <c r="J15" s="35">
        <f t="shared" si="2"/>
        <v>2408.0755368227633</v>
      </c>
      <c r="K15" s="43"/>
      <c r="L15" s="37">
        <f t="shared" si="3"/>
        <v>3.5</v>
      </c>
      <c r="M15" s="35">
        <f t="shared" si="10"/>
        <v>0</v>
      </c>
      <c r="N15" s="35">
        <f t="shared" si="4"/>
        <v>0</v>
      </c>
      <c r="O15" s="51"/>
      <c r="P15" s="52"/>
      <c r="Q15" s="46">
        <f t="shared" si="5"/>
        <v>39205</v>
      </c>
      <c r="R15" s="47">
        <f t="shared" si="6"/>
        <v>0</v>
      </c>
      <c r="S15" s="42">
        <f t="shared" si="7"/>
        <v>0</v>
      </c>
      <c r="T15" s="10"/>
    </row>
    <row r="16" spans="1:20">
      <c r="A16" s="29">
        <f t="shared" si="8"/>
        <v>8</v>
      </c>
      <c r="B16" s="30">
        <f t="shared" si="0"/>
        <v>39391</v>
      </c>
      <c r="C16" s="48">
        <f t="shared" si="11"/>
        <v>4.0055555555555555</v>
      </c>
      <c r="D16" s="32">
        <v>4.8500000000000001E-2</v>
      </c>
      <c r="E16" s="33">
        <f t="shared" si="12"/>
        <v>0.82720279222103388</v>
      </c>
      <c r="F16" s="34">
        <f t="shared" si="13"/>
        <v>5.8525391606669627E-2</v>
      </c>
      <c r="G16" s="35">
        <f t="shared" si="14"/>
        <v>0</v>
      </c>
      <c r="H16" s="36">
        <f t="shared" si="9"/>
        <v>3023.8118996779308</v>
      </c>
      <c r="I16" s="35">
        <f t="shared" si="1"/>
        <v>3023.8118996779308</v>
      </c>
      <c r="J16" s="35">
        <f t="shared" si="2"/>
        <v>2501.3056465647733</v>
      </c>
      <c r="K16" s="43" t="e">
        <f>#REF!</f>
        <v>#REF!</v>
      </c>
      <c r="L16" s="37">
        <f t="shared" si="3"/>
        <v>4.0055555555555555</v>
      </c>
      <c r="M16" s="35">
        <f t="shared" si="10"/>
        <v>0</v>
      </c>
      <c r="N16" s="35">
        <f t="shared" si="4"/>
        <v>0</v>
      </c>
      <c r="O16" s="51"/>
      <c r="P16" s="52"/>
      <c r="Q16" s="46">
        <f t="shared" si="5"/>
        <v>39391</v>
      </c>
      <c r="R16" s="47">
        <f t="shared" si="6"/>
        <v>0</v>
      </c>
      <c r="S16" s="42">
        <f t="shared" si="7"/>
        <v>0</v>
      </c>
      <c r="T16" s="10"/>
    </row>
    <row r="17" spans="1:20">
      <c r="A17" s="29">
        <f t="shared" si="8"/>
        <v>9</v>
      </c>
      <c r="B17" s="30">
        <f t="shared" si="0"/>
        <v>39573</v>
      </c>
      <c r="C17" s="48">
        <f t="shared" si="11"/>
        <v>4.5055555555555555</v>
      </c>
      <c r="D17" s="49">
        <f>(D16+D18)/2</f>
        <v>4.9250000000000002E-2</v>
      </c>
      <c r="E17" s="33">
        <f t="shared" si="12"/>
        <v>0.80524605382814363</v>
      </c>
      <c r="F17" s="34">
        <f t="shared" si="13"/>
        <v>5.3934956775441752E-2</v>
      </c>
      <c r="G17" s="35">
        <f t="shared" si="14"/>
        <v>0</v>
      </c>
      <c r="H17" s="36">
        <f t="shared" si="9"/>
        <v>2726.7117036473333</v>
      </c>
      <c r="I17" s="35">
        <f t="shared" si="1"/>
        <v>2726.7117036473333</v>
      </c>
      <c r="J17" s="35">
        <f t="shared" si="2"/>
        <v>2195.6738392890297</v>
      </c>
      <c r="K17" s="43"/>
      <c r="L17" s="37">
        <f t="shared" si="3"/>
        <v>4.5055555555555555</v>
      </c>
      <c r="M17" s="35">
        <f t="shared" si="10"/>
        <v>0</v>
      </c>
      <c r="N17" s="35">
        <f t="shared" si="4"/>
        <v>0</v>
      </c>
      <c r="O17" s="51"/>
      <c r="P17" s="52"/>
      <c r="Q17" s="46">
        <f t="shared" si="5"/>
        <v>39573</v>
      </c>
      <c r="R17" s="47">
        <f t="shared" si="6"/>
        <v>0</v>
      </c>
      <c r="S17" s="42">
        <f t="shared" si="7"/>
        <v>0</v>
      </c>
      <c r="T17" s="10"/>
    </row>
    <row r="18" spans="1:20">
      <c r="A18" s="29">
        <f t="shared" si="8"/>
        <v>10</v>
      </c>
      <c r="B18" s="30">
        <f t="shared" si="0"/>
        <v>39755</v>
      </c>
      <c r="C18" s="48">
        <f t="shared" si="11"/>
        <v>5</v>
      </c>
      <c r="D18" s="32">
        <v>0.05</v>
      </c>
      <c r="E18" s="33">
        <f t="shared" si="12"/>
        <v>0.78352616646845896</v>
      </c>
      <c r="F18" s="34">
        <f t="shared" si="13"/>
        <v>5.4832137580369388E-2</v>
      </c>
      <c r="G18" s="35">
        <f t="shared" si="14"/>
        <v>100000</v>
      </c>
      <c r="H18" s="36">
        <f t="shared" si="9"/>
        <v>2772.0691776742301</v>
      </c>
      <c r="I18" s="35">
        <f t="shared" si="1"/>
        <v>102772.06917767423</v>
      </c>
      <c r="J18" s="35">
        <f t="shared" si="2"/>
        <v>80524.605382814363</v>
      </c>
      <c r="K18" s="43" t="e">
        <f>#REF!</f>
        <v>#REF!</v>
      </c>
      <c r="L18" s="37">
        <f t="shared" si="3"/>
        <v>5</v>
      </c>
      <c r="M18" s="35">
        <f t="shared" si="10"/>
        <v>0</v>
      </c>
      <c r="N18" s="35">
        <f t="shared" si="4"/>
        <v>0</v>
      </c>
      <c r="O18" s="51"/>
      <c r="P18" s="52"/>
      <c r="Q18" s="46">
        <f t="shared" si="5"/>
        <v>39755</v>
      </c>
      <c r="R18" s="47">
        <f t="shared" si="6"/>
        <v>0</v>
      </c>
      <c r="S18" s="42">
        <f t="shared" si="7"/>
        <v>0</v>
      </c>
      <c r="T18" s="10"/>
    </row>
    <row r="19" spans="1:20">
      <c r="A19" s="29" t="str">
        <f t="shared" si="8"/>
        <v xml:space="preserve"> </v>
      </c>
      <c r="B19" s="30" t="str">
        <f t="shared" si="0"/>
        <v xml:space="preserve"> </v>
      </c>
      <c r="C19" s="48" t="str">
        <f t="shared" si="11"/>
        <v xml:space="preserve"> </v>
      </c>
      <c r="D19" s="49">
        <f>(D18+D20)/2</f>
        <v>5.1250000000000004E-2</v>
      </c>
      <c r="E19" s="33" t="str">
        <f t="shared" si="12"/>
        <v xml:space="preserve"> </v>
      </c>
      <c r="F19" s="34" t="str">
        <f t="shared" si="13"/>
        <v xml:space="preserve"> </v>
      </c>
      <c r="G19" s="35" t="str">
        <f t="shared" si="14"/>
        <v xml:space="preserve"> </v>
      </c>
      <c r="H19" s="36" t="str">
        <f t="shared" si="9"/>
        <v xml:space="preserve"> </v>
      </c>
      <c r="I19" s="35" t="str">
        <f t="shared" si="1"/>
        <v xml:space="preserve"> </v>
      </c>
      <c r="J19" s="35" t="str">
        <f t="shared" si="2"/>
        <v xml:space="preserve"> </v>
      </c>
      <c r="K19" s="43"/>
      <c r="L19" s="37" t="str">
        <f t="shared" si="3"/>
        <v xml:space="preserve"> </v>
      </c>
      <c r="M19" s="35" t="str">
        <f t="shared" si="10"/>
        <v xml:space="preserve"> </v>
      </c>
      <c r="N19" s="35" t="str">
        <f t="shared" si="4"/>
        <v/>
      </c>
      <c r="O19" s="51"/>
      <c r="P19" s="52"/>
      <c r="Q19" s="46" t="str">
        <f t="shared" si="5"/>
        <v xml:space="preserve"> </v>
      </c>
      <c r="R19" s="47" t="str">
        <f t="shared" si="6"/>
        <v xml:space="preserve"> </v>
      </c>
      <c r="S19" s="42" t="str">
        <f t="shared" si="7"/>
        <v xml:space="preserve"> </v>
      </c>
      <c r="T19" s="10"/>
    </row>
    <row r="20" spans="1:20">
      <c r="A20" s="29" t="str">
        <f t="shared" si="8"/>
        <v xml:space="preserve"> </v>
      </c>
      <c r="B20" s="30" t="str">
        <f t="shared" si="0"/>
        <v xml:space="preserve"> </v>
      </c>
      <c r="C20" s="48" t="str">
        <f t="shared" si="11"/>
        <v xml:space="preserve"> </v>
      </c>
      <c r="D20" s="32">
        <v>5.2499999999999998E-2</v>
      </c>
      <c r="E20" s="33" t="str">
        <f t="shared" si="12"/>
        <v xml:space="preserve"> </v>
      </c>
      <c r="F20" s="34" t="str">
        <f t="shared" si="13"/>
        <v xml:space="preserve"> </v>
      </c>
      <c r="G20" s="35" t="str">
        <f t="shared" si="14"/>
        <v xml:space="preserve"> </v>
      </c>
      <c r="H20" s="36" t="str">
        <f t="shared" si="9"/>
        <v xml:space="preserve"> </v>
      </c>
      <c r="I20" s="35" t="str">
        <f t="shared" si="1"/>
        <v xml:space="preserve"> </v>
      </c>
      <c r="J20" s="35" t="str">
        <f t="shared" si="2"/>
        <v xml:space="preserve"> </v>
      </c>
      <c r="K20" s="43" t="e">
        <f>#REF!</f>
        <v>#REF!</v>
      </c>
      <c r="L20" s="37" t="str">
        <f t="shared" si="3"/>
        <v xml:space="preserve"> </v>
      </c>
      <c r="M20" s="35" t="str">
        <f t="shared" si="10"/>
        <v xml:space="preserve"> </v>
      </c>
      <c r="N20" s="35" t="str">
        <f t="shared" si="4"/>
        <v/>
      </c>
      <c r="O20" s="51"/>
      <c r="P20" s="52"/>
      <c r="Q20" s="46" t="str">
        <f t="shared" si="5"/>
        <v xml:space="preserve"> </v>
      </c>
      <c r="R20" s="47" t="str">
        <f t="shared" si="6"/>
        <v xml:space="preserve"> </v>
      </c>
      <c r="S20" s="42" t="str">
        <f t="shared" si="7"/>
        <v xml:space="preserve"> </v>
      </c>
      <c r="T20" s="10"/>
    </row>
    <row r="21" spans="1:20">
      <c r="A21" s="29" t="str">
        <f t="shared" si="8"/>
        <v xml:space="preserve"> </v>
      </c>
      <c r="B21" s="30" t="str">
        <f t="shared" si="0"/>
        <v xml:space="preserve"> </v>
      </c>
      <c r="C21" s="48" t="str">
        <f t="shared" si="11"/>
        <v xml:space="preserve"> </v>
      </c>
      <c r="D21" s="49">
        <f>(D20+D22)/2</f>
        <v>5.3749999999999999E-2</v>
      </c>
      <c r="E21" s="33" t="str">
        <f t="shared" si="12"/>
        <v xml:space="preserve"> </v>
      </c>
      <c r="F21" s="34" t="str">
        <f t="shared" si="13"/>
        <v xml:space="preserve"> </v>
      </c>
      <c r="G21" s="35" t="str">
        <f t="shared" si="14"/>
        <v xml:space="preserve"> </v>
      </c>
      <c r="H21" s="36" t="str">
        <f t="shared" si="9"/>
        <v xml:space="preserve"> </v>
      </c>
      <c r="I21" s="35" t="str">
        <f t="shared" si="1"/>
        <v xml:space="preserve"> </v>
      </c>
      <c r="J21" s="35" t="str">
        <f t="shared" si="2"/>
        <v xml:space="preserve"> </v>
      </c>
      <c r="K21" s="43"/>
      <c r="L21" s="37" t="str">
        <f t="shared" si="3"/>
        <v xml:space="preserve"> </v>
      </c>
      <c r="M21" s="35" t="str">
        <f t="shared" si="10"/>
        <v xml:space="preserve"> </v>
      </c>
      <c r="N21" s="35" t="str">
        <f t="shared" si="4"/>
        <v/>
      </c>
      <c r="O21" s="51"/>
      <c r="P21" s="52"/>
      <c r="Q21" s="46" t="str">
        <f t="shared" si="5"/>
        <v xml:space="preserve"> </v>
      </c>
      <c r="R21" s="47" t="str">
        <f t="shared" si="6"/>
        <v xml:space="preserve"> </v>
      </c>
      <c r="S21" s="42" t="str">
        <f t="shared" si="7"/>
        <v xml:space="preserve"> </v>
      </c>
      <c r="T21" s="10"/>
    </row>
    <row r="22" spans="1:20">
      <c r="A22" s="29" t="str">
        <f t="shared" si="8"/>
        <v xml:space="preserve"> </v>
      </c>
      <c r="B22" s="30" t="str">
        <f t="shared" si="0"/>
        <v xml:space="preserve"> </v>
      </c>
      <c r="C22" s="48" t="str">
        <f t="shared" si="11"/>
        <v xml:space="preserve"> </v>
      </c>
      <c r="D22" s="32">
        <v>5.5E-2</v>
      </c>
      <c r="E22" s="33" t="str">
        <f t="shared" si="12"/>
        <v xml:space="preserve"> </v>
      </c>
      <c r="F22" s="34" t="str">
        <f t="shared" si="13"/>
        <v xml:space="preserve"> </v>
      </c>
      <c r="G22" s="35" t="str">
        <f t="shared" si="14"/>
        <v xml:space="preserve"> </v>
      </c>
      <c r="H22" s="36" t="str">
        <f t="shared" si="9"/>
        <v xml:space="preserve"> </v>
      </c>
      <c r="I22" s="35" t="str">
        <f t="shared" si="1"/>
        <v xml:space="preserve"> </v>
      </c>
      <c r="J22" s="35" t="str">
        <f t="shared" si="2"/>
        <v xml:space="preserve"> </v>
      </c>
      <c r="K22" s="43" t="e">
        <f>#REF!</f>
        <v>#REF!</v>
      </c>
      <c r="L22" s="37" t="str">
        <f t="shared" si="3"/>
        <v xml:space="preserve"> </v>
      </c>
      <c r="M22" s="35" t="str">
        <f t="shared" si="10"/>
        <v xml:space="preserve"> </v>
      </c>
      <c r="N22" s="35" t="str">
        <f t="shared" si="4"/>
        <v/>
      </c>
      <c r="O22" s="51"/>
      <c r="P22" s="52"/>
      <c r="Q22" s="46" t="str">
        <f t="shared" si="5"/>
        <v xml:space="preserve"> </v>
      </c>
      <c r="R22" s="47" t="str">
        <f t="shared" si="6"/>
        <v xml:space="preserve"> </v>
      </c>
      <c r="S22" s="42" t="str">
        <f t="shared" si="7"/>
        <v xml:space="preserve"> </v>
      </c>
      <c r="T22" s="10"/>
    </row>
    <row r="23" spans="1:20">
      <c r="A23" s="29" t="str">
        <f t="shared" si="8"/>
        <v xml:space="preserve"> </v>
      </c>
      <c r="B23" s="30" t="str">
        <f t="shared" si="0"/>
        <v xml:space="preserve"> </v>
      </c>
      <c r="C23" s="48" t="str">
        <f t="shared" si="11"/>
        <v xml:space="preserve"> </v>
      </c>
      <c r="D23" s="49">
        <f>(D22+D24)/2</f>
        <v>5.6250000000000001E-2</v>
      </c>
      <c r="E23" s="33" t="str">
        <f t="shared" si="12"/>
        <v xml:space="preserve"> </v>
      </c>
      <c r="F23" s="34" t="str">
        <f t="shared" si="13"/>
        <v xml:space="preserve"> </v>
      </c>
      <c r="G23" s="35" t="str">
        <f t="shared" si="14"/>
        <v xml:space="preserve"> </v>
      </c>
      <c r="H23" s="36" t="str">
        <f t="shared" si="9"/>
        <v xml:space="preserve"> </v>
      </c>
      <c r="I23" s="35" t="str">
        <f t="shared" si="1"/>
        <v xml:space="preserve"> </v>
      </c>
      <c r="J23" s="35" t="str">
        <f t="shared" si="2"/>
        <v xml:space="preserve"> </v>
      </c>
      <c r="K23" s="43"/>
      <c r="L23" s="37" t="str">
        <f t="shared" si="3"/>
        <v xml:space="preserve"> </v>
      </c>
      <c r="M23" s="35" t="str">
        <f t="shared" si="10"/>
        <v xml:space="preserve"> </v>
      </c>
      <c r="N23" s="35" t="str">
        <f t="shared" si="4"/>
        <v/>
      </c>
      <c r="O23" s="51"/>
      <c r="P23" s="52"/>
      <c r="Q23" s="46" t="str">
        <f t="shared" si="5"/>
        <v xml:space="preserve"> </v>
      </c>
      <c r="R23" s="47" t="str">
        <f t="shared" si="6"/>
        <v xml:space="preserve"> </v>
      </c>
      <c r="S23" s="42" t="str">
        <f t="shared" si="7"/>
        <v xml:space="preserve"> </v>
      </c>
      <c r="T23" s="10"/>
    </row>
    <row r="24" spans="1:20">
      <c r="A24" s="29" t="str">
        <f t="shared" si="8"/>
        <v xml:space="preserve"> </v>
      </c>
      <c r="B24" s="30" t="str">
        <f t="shared" si="0"/>
        <v xml:space="preserve"> </v>
      </c>
      <c r="C24" s="48" t="str">
        <f t="shared" si="11"/>
        <v xml:space="preserve"> </v>
      </c>
      <c r="D24" s="32">
        <v>5.7500000000000002E-2</v>
      </c>
      <c r="E24" s="33" t="str">
        <f t="shared" si="12"/>
        <v xml:space="preserve"> </v>
      </c>
      <c r="F24" s="34" t="str">
        <f t="shared" si="13"/>
        <v xml:space="preserve"> </v>
      </c>
      <c r="G24" s="35" t="str">
        <f t="shared" si="14"/>
        <v xml:space="preserve"> </v>
      </c>
      <c r="H24" s="36" t="str">
        <f t="shared" si="9"/>
        <v xml:space="preserve"> </v>
      </c>
      <c r="I24" s="35" t="str">
        <f t="shared" si="1"/>
        <v xml:space="preserve"> </v>
      </c>
      <c r="J24" s="35" t="str">
        <f t="shared" si="2"/>
        <v xml:space="preserve"> </v>
      </c>
      <c r="K24" s="43" t="e">
        <f>#REF!</f>
        <v>#REF!</v>
      </c>
      <c r="L24" s="37" t="str">
        <f t="shared" si="3"/>
        <v xml:space="preserve"> </v>
      </c>
      <c r="M24" s="35" t="str">
        <f t="shared" si="10"/>
        <v xml:space="preserve"> </v>
      </c>
      <c r="N24" s="35" t="str">
        <f t="shared" si="4"/>
        <v/>
      </c>
      <c r="O24" s="51"/>
      <c r="P24" s="52"/>
      <c r="Q24" s="46" t="str">
        <f t="shared" si="5"/>
        <v xml:space="preserve"> </v>
      </c>
      <c r="R24" s="47" t="str">
        <f t="shared" si="6"/>
        <v xml:space="preserve"> </v>
      </c>
      <c r="S24" s="42" t="str">
        <f t="shared" si="7"/>
        <v xml:space="preserve"> </v>
      </c>
      <c r="T24" s="10"/>
    </row>
    <row r="25" spans="1:20">
      <c r="A25" s="29" t="str">
        <f t="shared" si="8"/>
        <v xml:space="preserve"> </v>
      </c>
      <c r="B25" s="30" t="str">
        <f t="shared" si="0"/>
        <v xml:space="preserve"> </v>
      </c>
      <c r="C25" s="48" t="str">
        <f t="shared" si="11"/>
        <v xml:space="preserve"> </v>
      </c>
      <c r="D25" s="49">
        <f>(D24+D26)/2</f>
        <v>5.8749999999999997E-2</v>
      </c>
      <c r="E25" s="33" t="str">
        <f t="shared" si="12"/>
        <v xml:space="preserve"> </v>
      </c>
      <c r="F25" s="34" t="str">
        <f t="shared" si="13"/>
        <v xml:space="preserve"> </v>
      </c>
      <c r="G25" s="35" t="str">
        <f t="shared" si="14"/>
        <v xml:space="preserve"> </v>
      </c>
      <c r="H25" s="36" t="str">
        <f t="shared" si="9"/>
        <v xml:space="preserve"> </v>
      </c>
      <c r="I25" s="35" t="str">
        <f t="shared" si="1"/>
        <v xml:space="preserve"> </v>
      </c>
      <c r="J25" s="35" t="str">
        <f t="shared" si="2"/>
        <v xml:space="preserve"> </v>
      </c>
      <c r="K25" s="43"/>
      <c r="L25" s="37" t="str">
        <f t="shared" si="3"/>
        <v xml:space="preserve"> </v>
      </c>
      <c r="M25" s="35" t="str">
        <f t="shared" si="10"/>
        <v xml:space="preserve"> </v>
      </c>
      <c r="N25" s="35" t="str">
        <f t="shared" si="4"/>
        <v/>
      </c>
      <c r="O25" s="51"/>
      <c r="P25" s="52"/>
      <c r="Q25" s="46" t="str">
        <f t="shared" si="5"/>
        <v xml:space="preserve"> </v>
      </c>
      <c r="R25" s="47" t="str">
        <f t="shared" si="6"/>
        <v xml:space="preserve"> </v>
      </c>
      <c r="S25" s="42" t="str">
        <f t="shared" si="7"/>
        <v xml:space="preserve"> </v>
      </c>
      <c r="T25" s="10"/>
    </row>
    <row r="26" spans="1:20">
      <c r="A26" s="29" t="str">
        <f t="shared" si="8"/>
        <v xml:space="preserve"> </v>
      </c>
      <c r="B26" s="30" t="str">
        <f t="shared" si="0"/>
        <v xml:space="preserve"> </v>
      </c>
      <c r="C26" s="48" t="str">
        <f t="shared" si="11"/>
        <v xml:space="preserve"> </v>
      </c>
      <c r="D26" s="32">
        <v>0.06</v>
      </c>
      <c r="E26" s="33" t="str">
        <f t="shared" si="12"/>
        <v xml:space="preserve"> </v>
      </c>
      <c r="F26" s="34" t="str">
        <f t="shared" si="13"/>
        <v xml:space="preserve"> </v>
      </c>
      <c r="G26" s="35" t="str">
        <f t="shared" si="14"/>
        <v xml:space="preserve"> </v>
      </c>
      <c r="H26" s="36" t="str">
        <f t="shared" si="9"/>
        <v xml:space="preserve"> </v>
      </c>
      <c r="I26" s="35" t="str">
        <f t="shared" si="1"/>
        <v xml:space="preserve"> </v>
      </c>
      <c r="J26" s="35" t="str">
        <f t="shared" si="2"/>
        <v xml:space="preserve"> </v>
      </c>
      <c r="K26" s="43" t="e">
        <f>#REF!</f>
        <v>#REF!</v>
      </c>
      <c r="L26" s="37" t="str">
        <f t="shared" si="3"/>
        <v xml:space="preserve"> </v>
      </c>
      <c r="M26" s="35" t="str">
        <f t="shared" si="10"/>
        <v xml:space="preserve"> </v>
      </c>
      <c r="N26" s="35" t="str">
        <f t="shared" si="4"/>
        <v/>
      </c>
      <c r="O26" s="51"/>
      <c r="P26" s="52"/>
      <c r="Q26" s="46" t="str">
        <f t="shared" si="5"/>
        <v xml:space="preserve"> </v>
      </c>
      <c r="R26" s="47" t="str">
        <f t="shared" si="6"/>
        <v xml:space="preserve"> </v>
      </c>
      <c r="S26" s="42" t="str">
        <f t="shared" si="7"/>
        <v xml:space="preserve"> </v>
      </c>
      <c r="T26" s="10"/>
    </row>
    <row r="27" spans="1:20">
      <c r="A27" s="29" t="str">
        <f t="shared" si="8"/>
        <v xml:space="preserve"> </v>
      </c>
      <c r="B27" s="30" t="str">
        <f t="shared" si="0"/>
        <v xml:space="preserve"> </v>
      </c>
      <c r="C27" s="48" t="str">
        <f t="shared" si="11"/>
        <v xml:space="preserve"> </v>
      </c>
      <c r="D27" s="49">
        <f>(D26+D28)/2</f>
        <v>6.0999999999999999E-2</v>
      </c>
      <c r="E27" s="33" t="str">
        <f t="shared" si="12"/>
        <v xml:space="preserve"> </v>
      </c>
      <c r="F27" s="34" t="str">
        <f t="shared" si="13"/>
        <v xml:space="preserve"> </v>
      </c>
      <c r="G27" s="35" t="str">
        <f t="shared" si="14"/>
        <v xml:space="preserve"> </v>
      </c>
      <c r="H27" s="36" t="str">
        <f t="shared" si="9"/>
        <v xml:space="preserve"> </v>
      </c>
      <c r="I27" s="35" t="str">
        <f t="shared" si="1"/>
        <v xml:space="preserve"> </v>
      </c>
      <c r="J27" s="35" t="str">
        <f t="shared" si="2"/>
        <v xml:space="preserve"> </v>
      </c>
      <c r="K27" s="43"/>
      <c r="L27" s="37" t="str">
        <f t="shared" si="3"/>
        <v xml:space="preserve"> </v>
      </c>
      <c r="M27" s="35" t="str">
        <f t="shared" si="10"/>
        <v xml:space="preserve"> </v>
      </c>
      <c r="N27" s="35" t="str">
        <f t="shared" si="4"/>
        <v/>
      </c>
      <c r="O27" s="51"/>
      <c r="P27" s="52"/>
      <c r="Q27" s="46" t="str">
        <f t="shared" si="5"/>
        <v xml:space="preserve"> </v>
      </c>
      <c r="R27" s="47" t="str">
        <f t="shared" si="6"/>
        <v xml:space="preserve"> </v>
      </c>
      <c r="S27" s="42" t="str">
        <f t="shared" si="7"/>
        <v xml:space="preserve"> </v>
      </c>
      <c r="T27" s="10"/>
    </row>
    <row r="28" spans="1:20">
      <c r="A28" s="29" t="str">
        <f t="shared" si="8"/>
        <v xml:space="preserve"> </v>
      </c>
      <c r="B28" s="30" t="str">
        <f t="shared" si="0"/>
        <v xml:space="preserve"> </v>
      </c>
      <c r="C28" s="48" t="str">
        <f t="shared" si="11"/>
        <v xml:space="preserve"> </v>
      </c>
      <c r="D28" s="32">
        <v>6.2E-2</v>
      </c>
      <c r="E28" s="33" t="str">
        <f t="shared" si="12"/>
        <v xml:space="preserve"> </v>
      </c>
      <c r="F28" s="34" t="str">
        <f t="shared" si="13"/>
        <v xml:space="preserve"> </v>
      </c>
      <c r="G28" s="35" t="str">
        <f t="shared" si="14"/>
        <v xml:space="preserve"> </v>
      </c>
      <c r="H28" s="36" t="str">
        <f t="shared" si="9"/>
        <v xml:space="preserve"> </v>
      </c>
      <c r="I28" s="35" t="str">
        <f t="shared" si="1"/>
        <v xml:space="preserve"> </v>
      </c>
      <c r="J28" s="35" t="str">
        <f t="shared" si="2"/>
        <v xml:space="preserve"> </v>
      </c>
      <c r="K28" s="43" t="e">
        <f>#REF!</f>
        <v>#REF!</v>
      </c>
      <c r="L28" s="37" t="str">
        <f t="shared" si="3"/>
        <v xml:space="preserve"> </v>
      </c>
      <c r="M28" s="35" t="str">
        <f t="shared" si="10"/>
        <v xml:space="preserve"> </v>
      </c>
      <c r="N28" s="35" t="str">
        <f t="shared" si="4"/>
        <v/>
      </c>
      <c r="O28" s="51"/>
      <c r="P28" s="52"/>
      <c r="Q28" s="46" t="str">
        <f t="shared" si="5"/>
        <v xml:space="preserve"> </v>
      </c>
      <c r="R28" s="47" t="str">
        <f t="shared" si="6"/>
        <v xml:space="preserve"> </v>
      </c>
      <c r="S28" s="42" t="str">
        <f t="shared" si="7"/>
        <v xml:space="preserve"> </v>
      </c>
      <c r="T28" s="10"/>
    </row>
    <row r="29" spans="1:20">
      <c r="A29" s="29" t="str">
        <f t="shared" si="8"/>
        <v xml:space="preserve"> </v>
      </c>
      <c r="B29" s="30" t="str">
        <f t="shared" si="0"/>
        <v xml:space="preserve"> </v>
      </c>
      <c r="C29" s="53" t="str">
        <f t="shared" si="11"/>
        <v xml:space="preserve"> </v>
      </c>
      <c r="D29" s="49"/>
      <c r="E29" s="33" t="str">
        <f t="shared" si="12"/>
        <v xml:space="preserve"> </v>
      </c>
      <c r="F29" s="34" t="str">
        <f t="shared" si="13"/>
        <v xml:space="preserve"> </v>
      </c>
      <c r="G29" s="35" t="str">
        <f t="shared" si="14"/>
        <v xml:space="preserve"> </v>
      </c>
      <c r="H29" s="36" t="str">
        <f t="shared" si="9"/>
        <v xml:space="preserve"> </v>
      </c>
      <c r="I29" s="35" t="str">
        <f t="shared" si="1"/>
        <v xml:space="preserve"> </v>
      </c>
      <c r="J29" s="35" t="str">
        <f t="shared" si="2"/>
        <v xml:space="preserve"> </v>
      </c>
      <c r="K29" s="43" t="e">
        <f>#REF!</f>
        <v>#REF!</v>
      </c>
      <c r="L29" s="37" t="str">
        <f t="shared" si="3"/>
        <v xml:space="preserve"> </v>
      </c>
      <c r="M29" s="35" t="str">
        <f t="shared" si="10"/>
        <v xml:space="preserve"> </v>
      </c>
      <c r="N29" s="35" t="str">
        <f t="shared" si="4"/>
        <v/>
      </c>
      <c r="O29" s="51"/>
      <c r="P29" s="52"/>
      <c r="Q29" s="46" t="str">
        <f t="shared" si="5"/>
        <v xml:space="preserve"> </v>
      </c>
      <c r="R29" s="47" t="str">
        <f t="shared" si="6"/>
        <v xml:space="preserve"> </v>
      </c>
      <c r="S29" s="42" t="str">
        <f t="shared" si="7"/>
        <v xml:space="preserve"> </v>
      </c>
      <c r="T29" s="10"/>
    </row>
    <row r="30" spans="1:20">
      <c r="A30" s="29" t="str">
        <f t="shared" si="8"/>
        <v xml:space="preserve"> </v>
      </c>
      <c r="B30" s="30" t="str">
        <f t="shared" si="0"/>
        <v xml:space="preserve"> </v>
      </c>
      <c r="C30" s="53" t="str">
        <f t="shared" si="11"/>
        <v xml:space="preserve"> </v>
      </c>
      <c r="D30" s="32"/>
      <c r="E30" s="33" t="str">
        <f t="shared" si="12"/>
        <v xml:space="preserve"> </v>
      </c>
      <c r="F30" s="34" t="str">
        <f t="shared" si="13"/>
        <v xml:space="preserve"> </v>
      </c>
      <c r="G30" s="35" t="str">
        <f t="shared" si="14"/>
        <v xml:space="preserve"> </v>
      </c>
      <c r="H30" s="36" t="str">
        <f t="shared" si="9"/>
        <v xml:space="preserve"> </v>
      </c>
      <c r="I30" s="35" t="str">
        <f t="shared" si="1"/>
        <v xml:space="preserve"> </v>
      </c>
      <c r="J30" s="35" t="str">
        <f t="shared" si="2"/>
        <v xml:space="preserve"> </v>
      </c>
      <c r="K30" s="43"/>
      <c r="L30" s="37" t="str">
        <f t="shared" si="3"/>
        <v xml:space="preserve"> </v>
      </c>
      <c r="M30" s="35" t="str">
        <f t="shared" si="10"/>
        <v xml:space="preserve"> </v>
      </c>
      <c r="N30" s="35" t="str">
        <f t="shared" si="4"/>
        <v/>
      </c>
      <c r="O30" s="51"/>
      <c r="P30" s="52"/>
      <c r="Q30" s="46" t="str">
        <f t="shared" si="5"/>
        <v xml:space="preserve"> </v>
      </c>
      <c r="R30" s="47" t="str">
        <f t="shared" si="6"/>
        <v xml:space="preserve"> </v>
      </c>
      <c r="S30" s="42" t="str">
        <f t="shared" si="7"/>
        <v xml:space="preserve"> </v>
      </c>
      <c r="T30" s="10"/>
    </row>
    <row r="31" spans="1:20">
      <c r="A31" s="29" t="str">
        <f t="shared" si="8"/>
        <v xml:space="preserve"> </v>
      </c>
      <c r="B31" s="30" t="str">
        <f t="shared" si="0"/>
        <v xml:space="preserve"> </v>
      </c>
      <c r="C31" s="53" t="str">
        <f t="shared" si="11"/>
        <v xml:space="preserve"> </v>
      </c>
      <c r="D31" s="49"/>
      <c r="E31" s="33" t="str">
        <f t="shared" si="12"/>
        <v xml:space="preserve"> </v>
      </c>
      <c r="F31" s="34" t="str">
        <f t="shared" si="13"/>
        <v xml:space="preserve"> </v>
      </c>
      <c r="G31" s="35" t="str">
        <f t="shared" si="14"/>
        <v xml:space="preserve"> </v>
      </c>
      <c r="H31" s="36" t="str">
        <f t="shared" si="9"/>
        <v xml:space="preserve"> </v>
      </c>
      <c r="I31" s="35" t="str">
        <f t="shared" si="1"/>
        <v xml:space="preserve"> </v>
      </c>
      <c r="J31" s="35" t="str">
        <f t="shared" si="2"/>
        <v xml:space="preserve"> </v>
      </c>
      <c r="K31" s="43" t="e">
        <f>#REF!</f>
        <v>#REF!</v>
      </c>
      <c r="L31" s="37" t="str">
        <f t="shared" si="3"/>
        <v xml:space="preserve"> </v>
      </c>
      <c r="M31" s="35" t="str">
        <f t="shared" si="10"/>
        <v xml:space="preserve"> </v>
      </c>
      <c r="N31" s="35" t="str">
        <f t="shared" si="4"/>
        <v/>
      </c>
      <c r="O31" s="51"/>
      <c r="P31" s="52"/>
      <c r="Q31" s="46" t="str">
        <f t="shared" si="5"/>
        <v xml:space="preserve"> </v>
      </c>
      <c r="R31" s="47" t="str">
        <f t="shared" si="6"/>
        <v xml:space="preserve"> </v>
      </c>
      <c r="S31" s="42" t="str">
        <f t="shared" si="7"/>
        <v xml:space="preserve"> </v>
      </c>
      <c r="T31" s="10"/>
    </row>
    <row r="32" spans="1:20">
      <c r="A32" s="29" t="str">
        <f t="shared" si="8"/>
        <v xml:space="preserve"> </v>
      </c>
      <c r="B32" s="30" t="str">
        <f t="shared" si="0"/>
        <v xml:space="preserve"> </v>
      </c>
      <c r="C32" s="53" t="str">
        <f t="shared" si="11"/>
        <v xml:space="preserve"> </v>
      </c>
      <c r="D32" s="32"/>
      <c r="E32" s="33" t="str">
        <f t="shared" si="12"/>
        <v xml:space="preserve"> </v>
      </c>
      <c r="F32" s="34" t="str">
        <f t="shared" si="13"/>
        <v xml:space="preserve"> </v>
      </c>
      <c r="G32" s="35" t="str">
        <f t="shared" si="14"/>
        <v xml:space="preserve"> </v>
      </c>
      <c r="H32" s="36" t="str">
        <f t="shared" si="9"/>
        <v xml:space="preserve"> </v>
      </c>
      <c r="I32" s="35" t="str">
        <f t="shared" si="1"/>
        <v xml:space="preserve"> </v>
      </c>
      <c r="J32" s="35" t="str">
        <f t="shared" si="2"/>
        <v xml:space="preserve"> </v>
      </c>
      <c r="K32" s="43"/>
      <c r="L32" s="37" t="str">
        <f t="shared" si="3"/>
        <v xml:space="preserve"> </v>
      </c>
      <c r="M32" s="35" t="str">
        <f t="shared" si="10"/>
        <v xml:space="preserve"> </v>
      </c>
      <c r="N32" s="35" t="str">
        <f t="shared" si="4"/>
        <v/>
      </c>
      <c r="O32" s="51"/>
      <c r="P32" s="52"/>
      <c r="Q32" s="46" t="str">
        <f t="shared" si="5"/>
        <v xml:space="preserve"> </v>
      </c>
      <c r="R32" s="47" t="str">
        <f t="shared" si="6"/>
        <v xml:space="preserve"> </v>
      </c>
      <c r="S32" s="42" t="str">
        <f t="shared" si="7"/>
        <v xml:space="preserve"> </v>
      </c>
      <c r="T32" s="10"/>
    </row>
    <row r="33" spans="1:20">
      <c r="A33" s="29" t="str">
        <f t="shared" si="8"/>
        <v xml:space="preserve"> </v>
      </c>
      <c r="B33" s="30" t="str">
        <f t="shared" si="0"/>
        <v xml:space="preserve"> </v>
      </c>
      <c r="C33" s="53" t="str">
        <f t="shared" si="11"/>
        <v xml:space="preserve"> </v>
      </c>
      <c r="D33" s="49"/>
      <c r="E33" s="33" t="str">
        <f t="shared" si="12"/>
        <v xml:space="preserve"> </v>
      </c>
      <c r="F33" s="34" t="str">
        <f t="shared" si="13"/>
        <v xml:space="preserve"> </v>
      </c>
      <c r="G33" s="35" t="str">
        <f t="shared" si="14"/>
        <v xml:space="preserve"> </v>
      </c>
      <c r="H33" s="36" t="str">
        <f t="shared" si="9"/>
        <v xml:space="preserve"> </v>
      </c>
      <c r="I33" s="35" t="str">
        <f t="shared" si="1"/>
        <v xml:space="preserve"> </v>
      </c>
      <c r="J33" s="35" t="str">
        <f t="shared" si="2"/>
        <v xml:space="preserve"> </v>
      </c>
      <c r="K33" s="43" t="e">
        <f>#REF!</f>
        <v>#REF!</v>
      </c>
      <c r="L33" s="37" t="str">
        <f t="shared" si="3"/>
        <v xml:space="preserve"> </v>
      </c>
      <c r="M33" s="35" t="str">
        <f t="shared" si="10"/>
        <v xml:space="preserve"> </v>
      </c>
      <c r="N33" s="35" t="str">
        <f t="shared" si="4"/>
        <v/>
      </c>
      <c r="O33" s="51"/>
      <c r="P33" s="52"/>
      <c r="Q33" s="46" t="str">
        <f t="shared" si="5"/>
        <v xml:space="preserve"> </v>
      </c>
      <c r="R33" s="47" t="str">
        <f t="shared" si="6"/>
        <v xml:space="preserve"> </v>
      </c>
      <c r="S33" s="42" t="str">
        <f t="shared" si="7"/>
        <v xml:space="preserve"> </v>
      </c>
      <c r="T33" s="10"/>
    </row>
    <row r="34" spans="1:20">
      <c r="A34" s="29" t="str">
        <f t="shared" si="8"/>
        <v xml:space="preserve"> </v>
      </c>
      <c r="B34" s="30" t="str">
        <f t="shared" si="0"/>
        <v xml:space="preserve"> </v>
      </c>
      <c r="C34" s="53" t="str">
        <f t="shared" si="11"/>
        <v xml:space="preserve"> </v>
      </c>
      <c r="D34" s="32"/>
      <c r="E34" s="33" t="str">
        <f t="shared" si="12"/>
        <v xml:space="preserve"> </v>
      </c>
      <c r="F34" s="34" t="str">
        <f t="shared" si="13"/>
        <v xml:space="preserve"> </v>
      </c>
      <c r="G34" s="35" t="str">
        <f t="shared" si="14"/>
        <v xml:space="preserve"> </v>
      </c>
      <c r="H34" s="36" t="str">
        <f t="shared" si="9"/>
        <v xml:space="preserve"> </v>
      </c>
      <c r="I34" s="35" t="str">
        <f t="shared" si="1"/>
        <v xml:space="preserve"> </v>
      </c>
      <c r="J34" s="35" t="str">
        <f t="shared" si="2"/>
        <v xml:space="preserve"> </v>
      </c>
      <c r="K34" s="43"/>
      <c r="L34" s="37" t="str">
        <f t="shared" si="3"/>
        <v xml:space="preserve"> </v>
      </c>
      <c r="M34" s="35" t="str">
        <f t="shared" si="10"/>
        <v xml:space="preserve"> </v>
      </c>
      <c r="N34" s="35" t="str">
        <f t="shared" si="4"/>
        <v/>
      </c>
      <c r="O34" s="51"/>
      <c r="P34" s="52"/>
      <c r="Q34" s="46" t="str">
        <f t="shared" si="5"/>
        <v xml:space="preserve"> </v>
      </c>
      <c r="R34" s="47" t="str">
        <f t="shared" si="6"/>
        <v xml:space="preserve"> </v>
      </c>
      <c r="S34" s="42" t="str">
        <f t="shared" si="7"/>
        <v xml:space="preserve"> </v>
      </c>
      <c r="T34" s="10"/>
    </row>
    <row r="35" spans="1:20">
      <c r="A35" s="29" t="str">
        <f t="shared" si="8"/>
        <v xml:space="preserve"> </v>
      </c>
      <c r="B35" s="30" t="str">
        <f t="shared" si="0"/>
        <v xml:space="preserve"> </v>
      </c>
      <c r="C35" s="53" t="str">
        <f t="shared" si="11"/>
        <v xml:space="preserve"> </v>
      </c>
      <c r="D35" s="49"/>
      <c r="E35" s="33" t="str">
        <f t="shared" si="12"/>
        <v xml:space="preserve"> </v>
      </c>
      <c r="F35" s="34" t="str">
        <f t="shared" si="13"/>
        <v xml:space="preserve"> </v>
      </c>
      <c r="G35" s="35" t="str">
        <f t="shared" si="14"/>
        <v xml:space="preserve"> </v>
      </c>
      <c r="H35" s="36" t="str">
        <f t="shared" si="9"/>
        <v xml:space="preserve"> </v>
      </c>
      <c r="I35" s="35" t="str">
        <f t="shared" si="1"/>
        <v xml:space="preserve"> </v>
      </c>
      <c r="J35" s="35" t="str">
        <f t="shared" si="2"/>
        <v xml:space="preserve"> </v>
      </c>
      <c r="K35" s="43"/>
      <c r="L35" s="37" t="str">
        <f t="shared" si="3"/>
        <v xml:space="preserve"> </v>
      </c>
      <c r="M35" s="35" t="str">
        <f t="shared" si="10"/>
        <v xml:space="preserve"> </v>
      </c>
      <c r="N35" s="35" t="str">
        <f t="shared" si="4"/>
        <v/>
      </c>
      <c r="O35" s="51"/>
      <c r="P35" s="52"/>
      <c r="Q35" s="46" t="str">
        <f t="shared" si="5"/>
        <v xml:space="preserve"> </v>
      </c>
      <c r="R35" s="47" t="str">
        <f t="shared" si="6"/>
        <v xml:space="preserve"> </v>
      </c>
      <c r="S35" s="42" t="str">
        <f t="shared" si="7"/>
        <v xml:space="preserve"> </v>
      </c>
      <c r="T35" s="10"/>
    </row>
    <row r="36" spans="1:20">
      <c r="A36" s="29" t="str">
        <f t="shared" si="8"/>
        <v xml:space="preserve"> </v>
      </c>
      <c r="B36" s="30" t="str">
        <f t="shared" si="0"/>
        <v xml:space="preserve"> </v>
      </c>
      <c r="C36" s="53" t="str">
        <f t="shared" si="11"/>
        <v xml:space="preserve"> </v>
      </c>
      <c r="D36" s="32"/>
      <c r="E36" s="33" t="str">
        <f t="shared" si="12"/>
        <v xml:space="preserve"> </v>
      </c>
      <c r="F36" s="34" t="str">
        <f t="shared" si="13"/>
        <v xml:space="preserve"> </v>
      </c>
      <c r="G36" s="35" t="str">
        <f t="shared" si="14"/>
        <v xml:space="preserve"> </v>
      </c>
      <c r="H36" s="36" t="str">
        <f t="shared" si="9"/>
        <v xml:space="preserve"> </v>
      </c>
      <c r="I36" s="35" t="str">
        <f t="shared" si="1"/>
        <v xml:space="preserve"> </v>
      </c>
      <c r="J36" s="35" t="str">
        <f t="shared" si="2"/>
        <v xml:space="preserve"> </v>
      </c>
      <c r="K36" s="43" t="e">
        <f>#REF!</f>
        <v>#REF!</v>
      </c>
      <c r="L36" s="37" t="str">
        <f t="shared" si="3"/>
        <v xml:space="preserve"> </v>
      </c>
      <c r="M36" s="35" t="str">
        <f t="shared" si="10"/>
        <v xml:space="preserve"> </v>
      </c>
      <c r="N36" s="35" t="str">
        <f t="shared" si="4"/>
        <v/>
      </c>
      <c r="O36" s="51"/>
      <c r="P36" s="52"/>
      <c r="Q36" s="46" t="str">
        <f t="shared" si="5"/>
        <v xml:space="preserve"> </v>
      </c>
      <c r="R36" s="47" t="str">
        <f t="shared" si="6"/>
        <v xml:space="preserve"> </v>
      </c>
      <c r="S36" s="42" t="str">
        <f t="shared" si="7"/>
        <v xml:space="preserve"> </v>
      </c>
      <c r="T36" s="10"/>
    </row>
    <row r="37" spans="1:20">
      <c r="A37" s="29" t="str">
        <f t="shared" si="8"/>
        <v xml:space="preserve"> </v>
      </c>
      <c r="B37" s="30" t="str">
        <f t="shared" si="0"/>
        <v xml:space="preserve"> </v>
      </c>
      <c r="C37" s="53" t="str">
        <f t="shared" si="11"/>
        <v xml:space="preserve"> </v>
      </c>
      <c r="D37" s="49"/>
      <c r="E37" s="33" t="str">
        <f t="shared" si="12"/>
        <v xml:space="preserve"> </v>
      </c>
      <c r="F37" s="34" t="str">
        <f t="shared" si="13"/>
        <v xml:space="preserve"> </v>
      </c>
      <c r="G37" s="35" t="str">
        <f t="shared" si="14"/>
        <v xml:space="preserve"> </v>
      </c>
      <c r="H37" s="36" t="str">
        <f t="shared" si="9"/>
        <v xml:space="preserve"> </v>
      </c>
      <c r="I37" s="35" t="str">
        <f t="shared" si="1"/>
        <v xml:space="preserve"> </v>
      </c>
      <c r="J37" s="35" t="str">
        <f t="shared" si="2"/>
        <v xml:space="preserve"> </v>
      </c>
      <c r="K37" s="43"/>
      <c r="L37" s="37" t="str">
        <f t="shared" si="3"/>
        <v xml:space="preserve"> </v>
      </c>
      <c r="M37" s="35" t="str">
        <f t="shared" si="10"/>
        <v xml:space="preserve"> </v>
      </c>
      <c r="N37" s="35" t="str">
        <f t="shared" si="4"/>
        <v/>
      </c>
      <c r="O37" s="51"/>
      <c r="P37" s="52"/>
      <c r="Q37" s="46" t="str">
        <f t="shared" si="5"/>
        <v xml:space="preserve"> </v>
      </c>
      <c r="R37" s="47" t="str">
        <f t="shared" si="6"/>
        <v xml:space="preserve"> </v>
      </c>
      <c r="S37" s="42" t="str">
        <f t="shared" si="7"/>
        <v xml:space="preserve"> </v>
      </c>
      <c r="T37" s="10"/>
    </row>
    <row r="38" spans="1:20" ht="13.5" thickBot="1">
      <c r="A38" s="29" t="str">
        <f t="shared" si="8"/>
        <v xml:space="preserve"> </v>
      </c>
      <c r="B38" s="30" t="str">
        <f t="shared" si="0"/>
        <v xml:space="preserve"> </v>
      </c>
      <c r="C38" s="53" t="str">
        <f t="shared" si="11"/>
        <v xml:space="preserve"> </v>
      </c>
      <c r="D38" s="32"/>
      <c r="E38" s="33" t="str">
        <f t="shared" si="12"/>
        <v xml:space="preserve"> </v>
      </c>
      <c r="F38" s="34" t="str">
        <f t="shared" si="13"/>
        <v xml:space="preserve"> </v>
      </c>
      <c r="G38" s="35" t="str">
        <f t="shared" si="14"/>
        <v xml:space="preserve"> </v>
      </c>
      <c r="H38" s="54" t="str">
        <f t="shared" si="9"/>
        <v xml:space="preserve"> </v>
      </c>
      <c r="I38" s="35" t="str">
        <f t="shared" si="1"/>
        <v xml:space="preserve"> </v>
      </c>
      <c r="J38" s="35" t="str">
        <f t="shared" si="2"/>
        <v xml:space="preserve"> </v>
      </c>
      <c r="K38" s="43" t="e">
        <f>#REF!</f>
        <v>#REF!</v>
      </c>
      <c r="L38" s="37" t="str">
        <f t="shared" si="3"/>
        <v xml:space="preserve"> </v>
      </c>
      <c r="M38" s="35" t="str">
        <f t="shared" si="10"/>
        <v xml:space="preserve"> </v>
      </c>
      <c r="N38" s="35" t="str">
        <f t="shared" si="4"/>
        <v/>
      </c>
      <c r="O38" s="55"/>
      <c r="P38" s="56"/>
      <c r="Q38" s="57" t="str">
        <f t="shared" si="5"/>
        <v xml:space="preserve"> </v>
      </c>
      <c r="R38" s="58" t="str">
        <f t="shared" si="6"/>
        <v xml:space="preserve"> </v>
      </c>
      <c r="S38" s="42" t="str">
        <f t="shared" si="7"/>
        <v xml:space="preserve"> </v>
      </c>
      <c r="T38" s="10"/>
    </row>
    <row r="39" spans="1:20">
      <c r="B39" s="10"/>
      <c r="C39" s="59" t="s">
        <v>41</v>
      </c>
      <c r="D39" s="60"/>
      <c r="E39" s="61"/>
      <c r="F39" s="60"/>
      <c r="G39" s="62" t="s">
        <v>42</v>
      </c>
      <c r="H39" s="63"/>
      <c r="I39" s="64"/>
      <c r="J39" s="65">
        <f>SUM(J9:J38)</f>
        <v>100000</v>
      </c>
      <c r="K39" s="20"/>
      <c r="L39" s="66"/>
      <c r="M39" s="67"/>
      <c r="N39" s="68">
        <f>SUM(N9:N38)</f>
        <v>0</v>
      </c>
      <c r="O39" s="67"/>
      <c r="P39" s="35">
        <f>P9</f>
        <v>100000</v>
      </c>
      <c r="Q39" s="67"/>
      <c r="R39" s="67"/>
      <c r="S39" s="69">
        <f>SUM(S9:S38)</f>
        <v>100000</v>
      </c>
      <c r="T39" s="10"/>
    </row>
    <row r="40" spans="1:20">
      <c r="B40" s="10"/>
      <c r="C40" s="10"/>
      <c r="D40" s="10"/>
      <c r="E40" s="10"/>
      <c r="F40" s="10"/>
      <c r="G40" s="10"/>
      <c r="H40" s="10"/>
      <c r="I40" s="10"/>
      <c r="J40" s="10"/>
      <c r="K40" s="66"/>
      <c r="L40" s="10"/>
      <c r="M40" s="10"/>
      <c r="N40" s="10"/>
      <c r="O40" s="10"/>
      <c r="P40" s="10"/>
      <c r="Q40" s="10"/>
      <c r="R40" s="10"/>
      <c r="S40" s="10"/>
      <c r="T40" s="10"/>
    </row>
    <row r="41" spans="1:20">
      <c r="A41" s="11"/>
    </row>
    <row r="42" spans="1:20">
      <c r="A42" s="11"/>
    </row>
    <row r="43" spans="1:20">
      <c r="A43" s="11"/>
    </row>
    <row r="44" spans="1:20">
      <c r="A44" s="11"/>
    </row>
    <row r="45" spans="1:20">
      <c r="A45" s="11"/>
    </row>
    <row r="46" spans="1:20">
      <c r="A46" s="11"/>
    </row>
    <row r="47" spans="1:20">
      <c r="A47" s="11"/>
    </row>
    <row r="48" spans="1:20">
      <c r="A48" s="11"/>
    </row>
    <row r="49" spans="1:1">
      <c r="A49" s="11"/>
    </row>
    <row r="50" spans="1:1">
      <c r="A50" s="11"/>
    </row>
    <row r="51" spans="1:1">
      <c r="A51" s="11"/>
    </row>
    <row r="52" spans="1:1">
      <c r="A52" s="11"/>
    </row>
    <row r="53" spans="1:1">
      <c r="A53" s="11"/>
    </row>
    <row r="54" spans="1:1">
      <c r="A54" s="11"/>
    </row>
    <row r="55" spans="1:1">
      <c r="A55" s="11"/>
    </row>
    <row r="56" spans="1:1">
      <c r="A56" s="11"/>
    </row>
    <row r="57" spans="1:1">
      <c r="A57" s="11"/>
    </row>
    <row r="58" spans="1:1">
      <c r="A58" s="11"/>
    </row>
    <row r="59" spans="1:1">
      <c r="A59" s="11"/>
    </row>
    <row r="60" spans="1:1">
      <c r="A60" s="11"/>
    </row>
    <row r="61" spans="1:1">
      <c r="A61" s="11"/>
    </row>
    <row r="62" spans="1:1">
      <c r="A62" s="11"/>
    </row>
    <row r="63" spans="1:1">
      <c r="A63" s="11"/>
    </row>
    <row r="64" spans="1:1">
      <c r="A64" s="11"/>
    </row>
    <row r="65" spans="1:1">
      <c r="A65" s="11"/>
    </row>
    <row r="66" spans="1:1">
      <c r="A66" s="11"/>
    </row>
    <row r="67" spans="1:1">
      <c r="A67" s="11"/>
    </row>
    <row r="68" spans="1:1">
      <c r="A68" s="11"/>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row r="79" spans="1:1">
      <c r="A79" s="11"/>
    </row>
    <row r="80" spans="1:1">
      <c r="A80" s="11"/>
    </row>
    <row r="81" spans="1:1">
      <c r="A81" s="11"/>
    </row>
    <row r="82" spans="1:1">
      <c r="A82" s="11"/>
    </row>
    <row r="83" spans="1:1">
      <c r="A83" s="11"/>
    </row>
    <row r="84" spans="1:1">
      <c r="A84" s="11"/>
    </row>
    <row r="85" spans="1:1">
      <c r="A85" s="11"/>
    </row>
    <row r="86" spans="1:1">
      <c r="A86" s="11"/>
    </row>
    <row r="87" spans="1:1">
      <c r="A87" s="11"/>
    </row>
    <row r="88" spans="1:1">
      <c r="A88" s="11"/>
    </row>
    <row r="89" spans="1:1">
      <c r="A89" s="11"/>
    </row>
    <row r="90" spans="1:1">
      <c r="A90" s="11"/>
    </row>
    <row r="91" spans="1:1">
      <c r="A91" s="11"/>
    </row>
    <row r="92" spans="1:1">
      <c r="A92" s="11"/>
    </row>
    <row r="93" spans="1:1">
      <c r="A93" s="11"/>
    </row>
    <row r="94" spans="1:1">
      <c r="A94" s="11"/>
    </row>
    <row r="95" spans="1:1">
      <c r="A95" s="11"/>
    </row>
    <row r="96" spans="1:1">
      <c r="A96" s="11"/>
    </row>
    <row r="97" spans="1:1">
      <c r="A97" s="11"/>
    </row>
    <row r="98" spans="1:1">
      <c r="A98" s="11"/>
    </row>
    <row r="99" spans="1:1">
      <c r="A99" s="11"/>
    </row>
    <row r="100" spans="1:1">
      <c r="A100" s="11"/>
    </row>
    <row r="101" spans="1:1">
      <c r="A101" s="11"/>
    </row>
    <row r="102" spans="1:1">
      <c r="A102" s="11"/>
    </row>
    <row r="103" spans="1:1">
      <c r="A103" s="11"/>
    </row>
    <row r="104" spans="1:1">
      <c r="A104" s="11"/>
    </row>
    <row r="105" spans="1:1">
      <c r="A105" s="11"/>
    </row>
    <row r="106" spans="1:1">
      <c r="A106" s="11"/>
    </row>
    <row r="107" spans="1:1">
      <c r="A107" s="11"/>
    </row>
    <row r="108" spans="1:1">
      <c r="A108" s="11"/>
    </row>
    <row r="109" spans="1:1">
      <c r="A109" s="11"/>
    </row>
    <row r="110" spans="1:1">
      <c r="A110" s="11"/>
    </row>
    <row r="111" spans="1:1">
      <c r="A111" s="11"/>
    </row>
    <row r="112" spans="1:1">
      <c r="A112" s="11"/>
    </row>
    <row r="113" spans="1:1">
      <c r="A113" s="11"/>
    </row>
    <row r="114" spans="1:1">
      <c r="A114" s="11"/>
    </row>
    <row r="115" spans="1:1">
      <c r="A115" s="11"/>
    </row>
    <row r="116" spans="1:1">
      <c r="A116" s="11"/>
    </row>
    <row r="117" spans="1:1">
      <c r="A117" s="11"/>
    </row>
    <row r="118" spans="1:1">
      <c r="A118" s="11"/>
    </row>
    <row r="119" spans="1:1">
      <c r="A119" s="11"/>
    </row>
    <row r="120" spans="1:1">
      <c r="A120" s="11"/>
    </row>
    <row r="121" spans="1:1">
      <c r="A121" s="11"/>
    </row>
    <row r="122" spans="1:1">
      <c r="A122" s="11"/>
    </row>
    <row r="123" spans="1:1">
      <c r="A123" s="11"/>
    </row>
    <row r="124" spans="1:1">
      <c r="A124" s="11"/>
    </row>
    <row r="125" spans="1:1">
      <c r="A125" s="11"/>
    </row>
    <row r="126" spans="1:1">
      <c r="A126" s="11"/>
    </row>
    <row r="127" spans="1:1">
      <c r="A127" s="11"/>
    </row>
    <row r="128" spans="1:1">
      <c r="A128" s="11"/>
    </row>
    <row r="129" spans="1:1">
      <c r="A129" s="11"/>
    </row>
    <row r="130" spans="1:1">
      <c r="A130" s="11"/>
    </row>
    <row r="131" spans="1:1">
      <c r="A131" s="11"/>
    </row>
    <row r="132" spans="1:1">
      <c r="A132" s="11"/>
    </row>
    <row r="133" spans="1:1">
      <c r="A133" s="11"/>
    </row>
    <row r="134" spans="1:1">
      <c r="A134" s="11"/>
    </row>
    <row r="135" spans="1:1">
      <c r="A135" s="11"/>
    </row>
    <row r="136" spans="1:1">
      <c r="A136" s="11"/>
    </row>
    <row r="137" spans="1:1">
      <c r="A137" s="11"/>
    </row>
    <row r="138" spans="1:1">
      <c r="A138" s="11"/>
    </row>
    <row r="139" spans="1:1">
      <c r="A139" s="11"/>
    </row>
    <row r="140" spans="1:1">
      <c r="A140" s="11"/>
    </row>
    <row r="141" spans="1:1">
      <c r="A141" s="11"/>
    </row>
    <row r="142" spans="1:1">
      <c r="A142" s="11"/>
    </row>
    <row r="143" spans="1:1">
      <c r="A143" s="11"/>
    </row>
    <row r="144" spans="1:1">
      <c r="A144" s="11"/>
    </row>
    <row r="145" spans="1:1">
      <c r="A145" s="11"/>
    </row>
    <row r="146" spans="1:1">
      <c r="A146" s="11"/>
    </row>
    <row r="147" spans="1:1">
      <c r="A147" s="11"/>
    </row>
    <row r="148" spans="1:1">
      <c r="A148" s="11"/>
    </row>
    <row r="149" spans="1:1">
      <c r="A149" s="11"/>
    </row>
    <row r="150" spans="1:1">
      <c r="A150" s="11"/>
    </row>
    <row r="151" spans="1:1">
      <c r="A151" s="11"/>
    </row>
    <row r="152" spans="1:1">
      <c r="A152" s="11"/>
    </row>
    <row r="153" spans="1:1">
      <c r="A153" s="11"/>
    </row>
    <row r="154" spans="1:1">
      <c r="A154" s="11"/>
    </row>
    <row r="155" spans="1:1">
      <c r="A155" s="11"/>
    </row>
    <row r="156" spans="1:1">
      <c r="A156" s="11"/>
    </row>
    <row r="157" spans="1:1">
      <c r="A157" s="11"/>
    </row>
    <row r="158" spans="1:1">
      <c r="A158" s="11"/>
    </row>
    <row r="159" spans="1:1">
      <c r="A159" s="11"/>
    </row>
    <row r="160" spans="1:1">
      <c r="A160" s="11"/>
    </row>
    <row r="161" spans="1:1">
      <c r="A161" s="11"/>
    </row>
    <row r="162" spans="1:1">
      <c r="A162" s="11"/>
    </row>
    <row r="163" spans="1:1">
      <c r="A163" s="11"/>
    </row>
    <row r="164" spans="1:1">
      <c r="A164" s="11"/>
    </row>
    <row r="165" spans="1:1">
      <c r="A165" s="11"/>
    </row>
    <row r="166" spans="1:1">
      <c r="A166" s="11"/>
    </row>
    <row r="167" spans="1:1">
      <c r="A167" s="11"/>
    </row>
    <row r="168" spans="1:1">
      <c r="A168" s="11"/>
    </row>
    <row r="169" spans="1:1">
      <c r="A169" s="11"/>
    </row>
    <row r="170" spans="1:1">
      <c r="A170" s="11"/>
    </row>
    <row r="171" spans="1:1">
      <c r="A171" s="11"/>
    </row>
    <row r="172" spans="1:1">
      <c r="A172" s="11"/>
    </row>
    <row r="173" spans="1:1">
      <c r="A173" s="11"/>
    </row>
    <row r="174" spans="1:1">
      <c r="A174" s="11"/>
    </row>
    <row r="175" spans="1:1">
      <c r="A175" s="11"/>
    </row>
    <row r="176" spans="1:1">
      <c r="A176" s="11"/>
    </row>
    <row r="177" spans="1:1">
      <c r="A177" s="11"/>
    </row>
    <row r="178" spans="1:1">
      <c r="A178" s="11"/>
    </row>
    <row r="179" spans="1:1">
      <c r="A179" s="11"/>
    </row>
    <row r="180" spans="1:1">
      <c r="A180" s="11"/>
    </row>
    <row r="181" spans="1:1">
      <c r="A181" s="11"/>
    </row>
    <row r="182" spans="1:1">
      <c r="A182" s="11"/>
    </row>
    <row r="183" spans="1:1">
      <c r="A183" s="11"/>
    </row>
    <row r="184" spans="1:1">
      <c r="A184" s="11"/>
    </row>
    <row r="185" spans="1:1">
      <c r="A185" s="11"/>
    </row>
    <row r="186" spans="1:1">
      <c r="A186" s="11"/>
    </row>
    <row r="187" spans="1:1">
      <c r="A187" s="11"/>
    </row>
    <row r="188" spans="1:1">
      <c r="A188" s="11"/>
    </row>
    <row r="189" spans="1:1">
      <c r="A189" s="11"/>
    </row>
    <row r="190" spans="1:1">
      <c r="A190" s="11"/>
    </row>
    <row r="191" spans="1:1">
      <c r="A191" s="11"/>
    </row>
    <row r="192" spans="1:1">
      <c r="A192" s="11"/>
    </row>
    <row r="193" spans="1:1">
      <c r="A193" s="11"/>
    </row>
    <row r="194" spans="1:1">
      <c r="A194" s="11"/>
    </row>
    <row r="195" spans="1:1">
      <c r="A195" s="11"/>
    </row>
    <row r="196" spans="1:1">
      <c r="A196" s="11"/>
    </row>
    <row r="197" spans="1:1">
      <c r="A197" s="11"/>
    </row>
    <row r="198" spans="1:1">
      <c r="A198" s="11"/>
    </row>
    <row r="199" spans="1:1">
      <c r="A199" s="11"/>
    </row>
    <row r="200" spans="1:1">
      <c r="A200" s="11"/>
    </row>
    <row r="201" spans="1:1">
      <c r="A201" s="11"/>
    </row>
    <row r="202" spans="1:1">
      <c r="A202" s="11"/>
    </row>
    <row r="203" spans="1:1">
      <c r="A203" s="11"/>
    </row>
    <row r="204" spans="1:1">
      <c r="A204" s="11"/>
    </row>
    <row r="205" spans="1:1">
      <c r="A205" s="11"/>
    </row>
    <row r="206" spans="1:1">
      <c r="A206" s="11"/>
    </row>
    <row r="207" spans="1:1">
      <c r="A207" s="11"/>
    </row>
    <row r="208" spans="1:1">
      <c r="A208" s="11"/>
    </row>
    <row r="209" spans="1:1">
      <c r="A209" s="11"/>
    </row>
    <row r="210" spans="1:1">
      <c r="A210" s="11"/>
    </row>
    <row r="211" spans="1:1">
      <c r="A211" s="11"/>
    </row>
    <row r="212" spans="1:1">
      <c r="A212" s="11"/>
    </row>
    <row r="213" spans="1:1">
      <c r="A213" s="11"/>
    </row>
    <row r="214" spans="1:1">
      <c r="A214" s="11"/>
    </row>
    <row r="215" spans="1:1">
      <c r="A215" s="11"/>
    </row>
    <row r="216" spans="1:1">
      <c r="A216" s="11"/>
    </row>
    <row r="217" spans="1:1">
      <c r="A217" s="11"/>
    </row>
    <row r="218" spans="1:1">
      <c r="A218" s="11"/>
    </row>
    <row r="219" spans="1:1">
      <c r="A219" s="11"/>
    </row>
    <row r="220" spans="1:1">
      <c r="A220" s="11"/>
    </row>
    <row r="221" spans="1:1">
      <c r="A221" s="11"/>
    </row>
    <row r="222" spans="1:1">
      <c r="A222" s="11"/>
    </row>
    <row r="223" spans="1:1">
      <c r="A223" s="11"/>
    </row>
    <row r="224" spans="1:1">
      <c r="A224" s="11"/>
    </row>
    <row r="225" spans="1:1">
      <c r="A225" s="11"/>
    </row>
    <row r="226" spans="1:1">
      <c r="A226" s="11"/>
    </row>
    <row r="227" spans="1:1">
      <c r="A227" s="11"/>
    </row>
    <row r="228" spans="1:1">
      <c r="A228" s="11"/>
    </row>
    <row r="229" spans="1:1">
      <c r="A229" s="11"/>
    </row>
    <row r="230" spans="1:1">
      <c r="A230" s="11"/>
    </row>
    <row r="231" spans="1:1">
      <c r="A231" s="11"/>
    </row>
    <row r="232" spans="1:1">
      <c r="A232" s="11"/>
    </row>
    <row r="233" spans="1:1">
      <c r="A233" s="11"/>
    </row>
    <row r="234" spans="1:1">
      <c r="A234" s="11"/>
    </row>
    <row r="235" spans="1:1">
      <c r="A235" s="11"/>
    </row>
    <row r="236" spans="1:1">
      <c r="A236" s="11"/>
    </row>
    <row r="237" spans="1:1">
      <c r="A237" s="11"/>
    </row>
    <row r="238" spans="1:1">
      <c r="A238" s="11"/>
    </row>
    <row r="239" spans="1:1">
      <c r="A239" s="11"/>
    </row>
    <row r="240" spans="1:1">
      <c r="A240" s="11"/>
    </row>
    <row r="241" spans="1:1">
      <c r="A241" s="11"/>
    </row>
    <row r="242" spans="1:1">
      <c r="A242" s="11"/>
    </row>
    <row r="243" spans="1:1">
      <c r="A243" s="11"/>
    </row>
    <row r="244" spans="1:1">
      <c r="A244" s="11"/>
    </row>
    <row r="245" spans="1:1">
      <c r="A245" s="11"/>
    </row>
    <row r="246" spans="1:1">
      <c r="A246" s="11"/>
    </row>
    <row r="247" spans="1:1">
      <c r="A247" s="11"/>
    </row>
    <row r="248" spans="1:1">
      <c r="A248" s="11"/>
    </row>
    <row r="249" spans="1:1">
      <c r="A249" s="11"/>
    </row>
    <row r="250" spans="1:1">
      <c r="A250" s="11"/>
    </row>
    <row r="251" spans="1:1">
      <c r="A251" s="11"/>
    </row>
    <row r="252" spans="1:1">
      <c r="A252" s="11"/>
    </row>
    <row r="253" spans="1:1">
      <c r="A253" s="11"/>
    </row>
    <row r="254" spans="1:1">
      <c r="A254" s="11"/>
    </row>
    <row r="255" spans="1:1">
      <c r="A255" s="11"/>
    </row>
    <row r="256" spans="1:1">
      <c r="A256" s="11"/>
    </row>
    <row r="257" spans="1:1">
      <c r="A257" s="11"/>
    </row>
    <row r="258" spans="1:1">
      <c r="A258" s="11"/>
    </row>
    <row r="259" spans="1:1">
      <c r="A259" s="11"/>
    </row>
    <row r="260" spans="1:1">
      <c r="A260" s="11"/>
    </row>
    <row r="261" spans="1:1">
      <c r="A261" s="11"/>
    </row>
    <row r="262" spans="1:1">
      <c r="A262" s="11"/>
    </row>
    <row r="263" spans="1:1">
      <c r="A263" s="11"/>
    </row>
    <row r="264" spans="1:1">
      <c r="A264" s="11"/>
    </row>
    <row r="265" spans="1:1">
      <c r="A265" s="11"/>
    </row>
    <row r="266" spans="1:1">
      <c r="A266" s="11"/>
    </row>
    <row r="267" spans="1:1">
      <c r="A267" s="11"/>
    </row>
    <row r="268" spans="1:1">
      <c r="A268" s="11"/>
    </row>
    <row r="269" spans="1:1">
      <c r="A269" s="11"/>
    </row>
    <row r="270" spans="1:1">
      <c r="A270" s="11"/>
    </row>
    <row r="271" spans="1:1">
      <c r="A271" s="11"/>
    </row>
    <row r="272" spans="1:1">
      <c r="A272" s="11"/>
    </row>
    <row r="273" spans="1:1">
      <c r="A273" s="11"/>
    </row>
    <row r="274" spans="1:1">
      <c r="A274" s="11"/>
    </row>
    <row r="275" spans="1:1">
      <c r="A275" s="11"/>
    </row>
    <row r="276" spans="1:1">
      <c r="A276" s="11"/>
    </row>
    <row r="277" spans="1:1">
      <c r="A277" s="11"/>
    </row>
    <row r="278" spans="1:1">
      <c r="A278" s="11"/>
    </row>
    <row r="279" spans="1:1">
      <c r="A279" s="11"/>
    </row>
    <row r="280" spans="1:1">
      <c r="A280" s="11"/>
    </row>
    <row r="281" spans="1:1">
      <c r="A281" s="11"/>
    </row>
    <row r="282" spans="1:1">
      <c r="A282" s="11"/>
    </row>
    <row r="283" spans="1:1">
      <c r="A283" s="11"/>
    </row>
    <row r="284" spans="1:1">
      <c r="A284" s="11"/>
    </row>
    <row r="285" spans="1:1">
      <c r="A285" s="11"/>
    </row>
    <row r="286" spans="1:1">
      <c r="A286" s="11"/>
    </row>
    <row r="287" spans="1:1">
      <c r="A287" s="11"/>
    </row>
    <row r="288" spans="1:1">
      <c r="A288" s="11"/>
    </row>
    <row r="289" spans="1:1">
      <c r="A289" s="11"/>
    </row>
    <row r="290" spans="1:1">
      <c r="A290" s="11"/>
    </row>
    <row r="291" spans="1:1">
      <c r="A291" s="11"/>
    </row>
    <row r="292" spans="1:1">
      <c r="A292" s="11"/>
    </row>
    <row r="293" spans="1:1">
      <c r="A293" s="11"/>
    </row>
    <row r="294" spans="1:1">
      <c r="A294" s="11"/>
    </row>
    <row r="295" spans="1:1">
      <c r="A295" s="11"/>
    </row>
    <row r="296" spans="1:1">
      <c r="A296" s="11"/>
    </row>
    <row r="297" spans="1:1">
      <c r="A297" s="11"/>
    </row>
    <row r="298" spans="1:1">
      <c r="A298" s="11"/>
    </row>
    <row r="299" spans="1:1">
      <c r="A299" s="11"/>
    </row>
    <row r="300" spans="1:1">
      <c r="A300" s="11"/>
    </row>
    <row r="301" spans="1:1">
      <c r="A301" s="11"/>
    </row>
    <row r="302" spans="1:1">
      <c r="A302" s="11"/>
    </row>
    <row r="303" spans="1:1">
      <c r="A303" s="11"/>
    </row>
    <row r="304" spans="1:1">
      <c r="A304" s="11"/>
    </row>
    <row r="305" spans="1:1">
      <c r="A305" s="11"/>
    </row>
    <row r="306" spans="1:1">
      <c r="A306" s="11"/>
    </row>
    <row r="307" spans="1:1">
      <c r="A307" s="11"/>
    </row>
    <row r="308" spans="1:1">
      <c r="A308" s="11"/>
    </row>
    <row r="309" spans="1:1">
      <c r="A309" s="11"/>
    </row>
    <row r="310" spans="1:1">
      <c r="A310" s="11"/>
    </row>
    <row r="311" spans="1:1">
      <c r="A311" s="11"/>
    </row>
    <row r="312" spans="1:1">
      <c r="A312" s="11"/>
    </row>
    <row r="313" spans="1:1">
      <c r="A313" s="11"/>
    </row>
    <row r="314" spans="1:1">
      <c r="A314" s="11"/>
    </row>
    <row r="315" spans="1:1">
      <c r="A315" s="11"/>
    </row>
    <row r="316" spans="1:1">
      <c r="A316" s="11"/>
    </row>
    <row r="317" spans="1:1">
      <c r="A317" s="11"/>
    </row>
    <row r="318" spans="1:1">
      <c r="A318" s="11"/>
    </row>
    <row r="319" spans="1:1">
      <c r="A319" s="11"/>
    </row>
    <row r="320" spans="1:1">
      <c r="A320" s="11"/>
    </row>
    <row r="321" spans="1:1">
      <c r="A321" s="11"/>
    </row>
    <row r="322" spans="1:1">
      <c r="A322" s="11"/>
    </row>
    <row r="323" spans="1:1">
      <c r="A323" s="11"/>
    </row>
    <row r="324" spans="1:1">
      <c r="A324" s="11"/>
    </row>
    <row r="325" spans="1:1">
      <c r="A325" s="11"/>
    </row>
    <row r="326" spans="1:1">
      <c r="A326" s="11"/>
    </row>
    <row r="327" spans="1:1">
      <c r="A327" s="11"/>
    </row>
    <row r="328" spans="1:1">
      <c r="A328" s="11"/>
    </row>
    <row r="329" spans="1:1">
      <c r="A329" s="11"/>
    </row>
    <row r="330" spans="1:1">
      <c r="A330" s="11"/>
    </row>
    <row r="331" spans="1:1">
      <c r="A331" s="11"/>
    </row>
    <row r="332" spans="1:1">
      <c r="A332" s="11"/>
    </row>
    <row r="333" spans="1:1">
      <c r="A333" s="11"/>
    </row>
    <row r="334" spans="1:1">
      <c r="A334" s="11"/>
    </row>
    <row r="335" spans="1:1">
      <c r="A335" s="11"/>
    </row>
    <row r="336" spans="1:1">
      <c r="A336" s="11"/>
    </row>
    <row r="337" spans="1:1">
      <c r="A337" s="11"/>
    </row>
    <row r="338" spans="1:1">
      <c r="A338" s="11"/>
    </row>
    <row r="339" spans="1:1">
      <c r="A339" s="11"/>
    </row>
    <row r="340" spans="1:1">
      <c r="A340" s="11"/>
    </row>
    <row r="341" spans="1:1">
      <c r="A341" s="11"/>
    </row>
    <row r="342" spans="1:1">
      <c r="A342" s="11"/>
    </row>
    <row r="343" spans="1:1">
      <c r="A343" s="11"/>
    </row>
    <row r="344" spans="1:1">
      <c r="A344" s="11"/>
    </row>
    <row r="345" spans="1:1">
      <c r="A345" s="11"/>
    </row>
    <row r="346" spans="1:1">
      <c r="A346" s="11"/>
    </row>
    <row r="347" spans="1:1">
      <c r="A347" s="11"/>
    </row>
    <row r="348" spans="1:1">
      <c r="A348" s="11"/>
    </row>
    <row r="349" spans="1:1">
      <c r="A349" s="11"/>
    </row>
    <row r="350" spans="1:1">
      <c r="A350" s="11"/>
    </row>
    <row r="351" spans="1:1">
      <c r="A351" s="11"/>
    </row>
    <row r="352" spans="1:1">
      <c r="A352" s="11"/>
    </row>
    <row r="353" spans="1:1">
      <c r="A353" s="11"/>
    </row>
    <row r="354" spans="1:1">
      <c r="A354" s="11"/>
    </row>
    <row r="355" spans="1:1">
      <c r="A355" s="11"/>
    </row>
    <row r="356" spans="1:1">
      <c r="A356" s="11"/>
    </row>
    <row r="357" spans="1:1">
      <c r="A357" s="11"/>
    </row>
    <row r="358" spans="1:1">
      <c r="A358" s="11"/>
    </row>
    <row r="359" spans="1:1">
      <c r="A359" s="11"/>
    </row>
    <row r="360" spans="1:1">
      <c r="A360" s="11"/>
    </row>
    <row r="361" spans="1:1">
      <c r="A361" s="11"/>
    </row>
    <row r="362" spans="1:1">
      <c r="A362" s="11"/>
    </row>
    <row r="363" spans="1:1">
      <c r="A363" s="11"/>
    </row>
    <row r="364" spans="1:1">
      <c r="A364" s="11"/>
    </row>
    <row r="365" spans="1:1">
      <c r="A365" s="11"/>
    </row>
    <row r="366" spans="1:1">
      <c r="A366" s="11"/>
    </row>
    <row r="367" spans="1:1">
      <c r="A367" s="11"/>
    </row>
    <row r="368" spans="1:1">
      <c r="A368" s="11"/>
    </row>
    <row r="369" spans="1:1">
      <c r="A369" s="11"/>
    </row>
    <row r="370" spans="1:1">
      <c r="A370" s="11"/>
    </row>
    <row r="371" spans="1:1">
      <c r="A371" s="11"/>
    </row>
    <row r="372" spans="1:1">
      <c r="A372" s="11"/>
    </row>
    <row r="373" spans="1:1">
      <c r="A373" s="11"/>
    </row>
    <row r="374" spans="1:1">
      <c r="A374" s="11"/>
    </row>
    <row r="375" spans="1:1">
      <c r="A375" s="11"/>
    </row>
    <row r="376" spans="1:1">
      <c r="A376" s="11"/>
    </row>
    <row r="377" spans="1:1">
      <c r="A377" s="11"/>
    </row>
    <row r="378" spans="1:1">
      <c r="A378" s="11"/>
    </row>
    <row r="379" spans="1:1">
      <c r="A379" s="11"/>
    </row>
    <row r="380" spans="1:1">
      <c r="A380" s="11"/>
    </row>
    <row r="381" spans="1:1">
      <c r="A381" s="11"/>
    </row>
  </sheetData>
  <phoneticPr fontId="5" type="noConversion"/>
  <printOptions gridLines="1" gridLinesSet="0"/>
  <pageMargins left="0.78740157499999996" right="0.78740157499999996" top="0.984251969" bottom="0.984251969" header="0.51181102300000003" footer="0.51181102300000003"/>
  <pageSetup paperSize="9" orientation="portrait" horizontalDpi="300" verticalDpi="300" r:id="rId1"/>
  <headerFooter alignWithMargins="0">
    <oddHeader>&amp;F</oddHeader>
    <oddFooter>Seite &amp;P</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B1" sqref="B1"/>
    </sheetView>
  </sheetViews>
  <sheetFormatPr baseColWidth="10" defaultRowHeight="12.75"/>
  <cols>
    <col min="1" max="1" width="31" customWidth="1"/>
    <col min="2" max="2" width="11.5703125" bestFit="1" customWidth="1"/>
    <col min="4" max="4" width="17.28515625" customWidth="1"/>
  </cols>
  <sheetData>
    <row r="1" spans="1:6">
      <c r="A1" s="70" t="s">
        <v>394</v>
      </c>
      <c r="B1" s="74">
        <v>20</v>
      </c>
      <c r="C1" s="70"/>
      <c r="D1" s="70"/>
      <c r="E1" s="70"/>
      <c r="F1" s="70"/>
    </row>
    <row r="2" spans="1:6">
      <c r="A2" s="70" t="s">
        <v>341</v>
      </c>
      <c r="B2" s="6">
        <v>0.12</v>
      </c>
      <c r="C2" s="70"/>
      <c r="D2" s="70"/>
      <c r="E2" s="70"/>
      <c r="F2" s="70"/>
    </row>
    <row r="3" spans="1:6">
      <c r="A3" s="70" t="s">
        <v>342</v>
      </c>
      <c r="B3" s="6">
        <v>0.4</v>
      </c>
      <c r="C3" s="70"/>
      <c r="D3" s="70"/>
      <c r="E3" s="70"/>
      <c r="F3" s="70"/>
    </row>
    <row r="4" spans="1:6">
      <c r="A4" s="70"/>
      <c r="B4" s="70"/>
      <c r="C4" s="70"/>
      <c r="D4" s="70"/>
      <c r="E4" s="70"/>
      <c r="F4" s="70"/>
    </row>
    <row r="5" spans="1:6">
      <c r="A5" s="70" t="s">
        <v>241</v>
      </c>
      <c r="B5" s="74">
        <v>0.5</v>
      </c>
      <c r="C5" s="70"/>
      <c r="D5" s="70"/>
      <c r="E5" s="70"/>
      <c r="F5" s="70"/>
    </row>
    <row r="6" spans="1:6">
      <c r="A6" s="70"/>
      <c r="B6" s="70"/>
      <c r="C6" s="70"/>
      <c r="D6" s="70"/>
      <c r="E6" s="70"/>
      <c r="F6" s="70"/>
    </row>
    <row r="7" spans="1:6" ht="12.75" customHeight="1">
      <c r="A7" s="70" t="s">
        <v>393</v>
      </c>
      <c r="B7" s="155">
        <f>B1*EXP(B2*B5)</f>
        <v>21.236730930907193</v>
      </c>
      <c r="C7" s="70"/>
      <c r="D7" s="353" t="s">
        <v>401</v>
      </c>
      <c r="E7" s="160"/>
      <c r="F7" s="70"/>
    </row>
    <row r="8" spans="1:6">
      <c r="A8" s="70" t="s">
        <v>343</v>
      </c>
      <c r="B8" s="70">
        <f>B1^2*EXP(2*B2*B5)*(EXP(B3^2*B5)-1)</f>
        <v>37.562362632317708</v>
      </c>
      <c r="C8" s="70"/>
      <c r="D8" s="354" t="s">
        <v>402</v>
      </c>
      <c r="E8" s="163"/>
      <c r="F8" s="70"/>
    </row>
    <row r="9" spans="1:6" ht="14.25">
      <c r="A9" s="70" t="s">
        <v>392</v>
      </c>
      <c r="B9" s="155">
        <f>SQRT(B8)</f>
        <v>6.1288141293661136</v>
      </c>
      <c r="C9" s="70"/>
      <c r="D9" s="355" t="s">
        <v>403</v>
      </c>
      <c r="E9" s="356">
        <f>LN(B1)+(B2-B3^2/2)*B5</f>
        <v>3.0157322735539909</v>
      </c>
      <c r="F9" s="70"/>
    </row>
    <row r="10" spans="1:6" ht="15">
      <c r="A10" s="70" t="s">
        <v>391</v>
      </c>
      <c r="B10" s="155">
        <f>B1*EXP((B2-B3^2/2)*B5)</f>
        <v>20.404026800535114</v>
      </c>
      <c r="C10" s="70"/>
      <c r="D10" s="357" t="s">
        <v>544</v>
      </c>
      <c r="E10" s="489">
        <f>B3^2*(B5)</f>
        <v>8.0000000000000016E-2</v>
      </c>
      <c r="F10" s="70"/>
    </row>
    <row r="11" spans="1:6">
      <c r="A11" s="70"/>
      <c r="B11" s="70"/>
      <c r="C11" s="70"/>
      <c r="D11" s="70"/>
      <c r="E11" s="70"/>
      <c r="F11" s="70"/>
    </row>
    <row r="12" spans="1:6">
      <c r="A12" s="70" t="s">
        <v>344</v>
      </c>
      <c r="B12" s="6">
        <v>0.99</v>
      </c>
      <c r="C12" s="70"/>
      <c r="D12" s="70"/>
      <c r="E12" s="70"/>
      <c r="F12" s="70"/>
    </row>
    <row r="13" spans="1:6">
      <c r="A13" s="70" t="s">
        <v>395</v>
      </c>
      <c r="B13" s="155">
        <f>EXP(LN(B1)+(B2-B3^2/2)*B5-NORMINV((1+B12)/2,0,1)*B3*SQRT(B5))</f>
        <v>9.847107197004199</v>
      </c>
      <c r="C13" s="70" t="s">
        <v>340</v>
      </c>
      <c r="D13" s="70"/>
      <c r="E13" s="70"/>
      <c r="F13" s="70"/>
    </row>
    <row r="14" spans="1:6">
      <c r="A14" s="70"/>
      <c r="B14" s="155">
        <f>EXP(LN(B1)+(B2-B3^2/2)*B5+NORMINV((1+B12)/2,0,1)*B3*SQRT(B5))</f>
        <v>42.278844065352935</v>
      </c>
      <c r="C14" s="70" t="s">
        <v>129</v>
      </c>
      <c r="D14" s="70"/>
      <c r="E14" s="70"/>
      <c r="F14" s="70"/>
    </row>
    <row r="15" spans="1:6">
      <c r="A15" s="70"/>
      <c r="B15" s="70"/>
      <c r="C15" s="70"/>
      <c r="D15" s="70"/>
      <c r="E15" s="70"/>
      <c r="F15" s="70"/>
    </row>
    <row r="16" spans="1:6">
      <c r="A16" s="70"/>
      <c r="B16" s="70"/>
      <c r="C16" s="70"/>
      <c r="D16" s="70"/>
      <c r="E16" s="70"/>
      <c r="F16" s="70"/>
    </row>
    <row r="17" spans="1:6">
      <c r="A17" s="70" t="s">
        <v>541</v>
      </c>
      <c r="B17" s="70"/>
      <c r="C17" s="70"/>
      <c r="D17" s="88">
        <f>B14</f>
        <v>42.278844065352935</v>
      </c>
      <c r="E17" s="70" t="s">
        <v>542</v>
      </c>
      <c r="F17" s="70"/>
    </row>
    <row r="18" spans="1:6">
      <c r="A18" s="70" t="s">
        <v>543</v>
      </c>
      <c r="B18" s="331">
        <f>1-NORMSDIST((LN(D17)-E9)/SQRT(E10))</f>
        <v>5.0000000000000044E-3</v>
      </c>
      <c r="C18" s="70"/>
      <c r="D18" s="70"/>
      <c r="E18" s="70"/>
      <c r="F18" s="70"/>
    </row>
    <row r="19" spans="1:6">
      <c r="A19" s="70"/>
      <c r="B19" s="70"/>
      <c r="C19" s="70"/>
      <c r="D19" s="70"/>
      <c r="E19" s="70"/>
      <c r="F19" s="70"/>
    </row>
    <row r="20" spans="1:6">
      <c r="A20" s="70"/>
      <c r="B20" s="70"/>
      <c r="C20" s="70"/>
      <c r="D20" s="70"/>
      <c r="E20" s="70"/>
      <c r="F20" s="70"/>
    </row>
    <row r="21" spans="1:6">
      <c r="A21" s="70"/>
      <c r="B21" s="70"/>
      <c r="C21" s="70"/>
      <c r="D21" s="70"/>
      <c r="E21" s="70"/>
      <c r="F21" s="70"/>
    </row>
    <row r="22" spans="1:6">
      <c r="A22" s="70"/>
      <c r="B22" s="70"/>
      <c r="C22" s="70"/>
      <c r="D22" s="70"/>
      <c r="E22" s="70"/>
      <c r="F22" s="70"/>
    </row>
    <row r="23" spans="1:6">
      <c r="A23" s="70"/>
      <c r="B23" s="70"/>
      <c r="C23" s="70"/>
      <c r="D23" s="70"/>
      <c r="E23" s="70"/>
      <c r="F23" s="70"/>
    </row>
    <row r="24" spans="1:6">
      <c r="A24" s="70" t="s">
        <v>345</v>
      </c>
      <c r="B24" s="70">
        <f>B5</f>
        <v>0.5</v>
      </c>
      <c r="C24" s="70" t="s">
        <v>63</v>
      </c>
      <c r="D24" s="70"/>
      <c r="E24" s="70"/>
      <c r="F24" s="70"/>
    </row>
    <row r="25" spans="1:6">
      <c r="A25" s="70" t="s">
        <v>346</v>
      </c>
      <c r="B25" s="70"/>
      <c r="C25" s="70"/>
      <c r="D25" s="70"/>
      <c r="E25" s="70"/>
      <c r="F25" s="70"/>
    </row>
    <row r="26" spans="1:6">
      <c r="A26" s="70" t="s">
        <v>347</v>
      </c>
      <c r="B26" s="331">
        <f>B2-B3^2/2</f>
        <v>3.999999999999998E-2</v>
      </c>
      <c r="C26" s="70"/>
      <c r="D26" s="70"/>
      <c r="E26" s="70"/>
      <c r="F26" s="70"/>
    </row>
    <row r="27" spans="1:6">
      <c r="A27" s="70" t="s">
        <v>348</v>
      </c>
      <c r="B27" s="70">
        <f>B3/SQRT(B24)</f>
        <v>0.56568542494923801</v>
      </c>
      <c r="C27" s="70"/>
      <c r="D27" s="70"/>
      <c r="E27" s="70"/>
      <c r="F27" s="70"/>
    </row>
    <row r="28" spans="1:6">
      <c r="A28" s="70"/>
      <c r="B28" s="70"/>
      <c r="C28" s="70"/>
      <c r="D28" s="70"/>
      <c r="E28" s="70"/>
      <c r="F28" s="70"/>
    </row>
    <row r="29" spans="1:6">
      <c r="A29" s="70"/>
      <c r="B29" s="70"/>
      <c r="C29" s="70"/>
      <c r="D29" s="70"/>
      <c r="E29" s="70"/>
      <c r="F29" s="70"/>
    </row>
  </sheetData>
  <phoneticPr fontId="15" type="noConversion"/>
  <pageMargins left="0.78740157499999996" right="0.78740157499999996" top="0.984251969" bottom="0.984251969" header="0.4921259845" footer="0.4921259845"/>
  <pageSetup paperSize="9" orientation="portrait" horizontalDpi="0"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K1524"/>
  <sheetViews>
    <sheetView workbookViewId="0">
      <selection activeCell="C2" sqref="C2"/>
    </sheetView>
  </sheetViews>
  <sheetFormatPr baseColWidth="10" defaultColWidth="10.28515625" defaultRowHeight="12.75"/>
  <cols>
    <col min="1" max="11" width="10.28515625" style="327" customWidth="1"/>
    <col min="12" max="16384" width="10.28515625" style="322"/>
  </cols>
  <sheetData>
    <row r="1" spans="1:6">
      <c r="A1" s="326" t="s">
        <v>332</v>
      </c>
      <c r="B1" s="326"/>
    </row>
    <row r="2" spans="1:6">
      <c r="A2" s="327" t="s">
        <v>333</v>
      </c>
      <c r="C2" s="323">
        <v>208</v>
      </c>
    </row>
    <row r="3" spans="1:6">
      <c r="A3" s="327" t="s">
        <v>334</v>
      </c>
      <c r="C3" s="324">
        <f>1/C2</f>
        <v>4.807692307692308E-3</v>
      </c>
      <c r="E3" s="328"/>
    </row>
    <row r="4" spans="1:6">
      <c r="C4" s="329" t="s">
        <v>335</v>
      </c>
      <c r="D4" s="325">
        <v>1</v>
      </c>
    </row>
    <row r="5" spans="1:6">
      <c r="A5" s="327" t="s">
        <v>231</v>
      </c>
      <c r="B5" s="327" t="s">
        <v>336</v>
      </c>
    </row>
    <row r="6" spans="1:6">
      <c r="A6" s="327" t="s">
        <v>36</v>
      </c>
      <c r="B6" s="327" t="s">
        <v>337</v>
      </c>
      <c r="C6" s="327" t="s">
        <v>338</v>
      </c>
      <c r="D6" s="327" t="s">
        <v>339</v>
      </c>
    </row>
    <row r="7" spans="1:6">
      <c r="A7" s="327">
        <v>0</v>
      </c>
      <c r="C7" s="327">
        <v>0</v>
      </c>
      <c r="D7" s="327">
        <v>0</v>
      </c>
      <c r="E7" s="327">
        <v>0</v>
      </c>
      <c r="F7" s="327">
        <v>0</v>
      </c>
    </row>
    <row r="8" spans="1:6">
      <c r="A8" s="328">
        <f t="shared" ref="A8:A71" si="0">IF(ROW()-6&gt;2*$C$2,"",$C$3*(ROW()-6))</f>
        <v>9.6153846153846159E-3</v>
      </c>
      <c r="B8" s="330">
        <f t="shared" ref="B8:B71" ca="1" si="1">NORMINV(RAND(),0,1)</f>
        <v>-0.52927075930445666</v>
      </c>
      <c r="C8" s="327">
        <f t="shared" ref="C8:C39" ca="1" si="2">C7+B8*SQRT($C$3)</f>
        <v>-3.6698324255307266E-2</v>
      </c>
      <c r="D8" s="327">
        <f t="shared" ref="D8:D71" ca="1" si="3">$D$4*A8+C8</f>
        <v>-2.708293963992265E-2</v>
      </c>
      <c r="E8" s="327">
        <v>1</v>
      </c>
      <c r="F8" s="327">
        <f>D4</f>
        <v>1</v>
      </c>
    </row>
    <row r="9" spans="1:6">
      <c r="A9" s="328">
        <f t="shared" si="0"/>
        <v>1.4423076923076924E-2</v>
      </c>
      <c r="B9" s="330">
        <f t="shared" ca="1" si="1"/>
        <v>-0.69016548906806452</v>
      </c>
      <c r="C9" s="327">
        <f t="shared" ca="1" si="2"/>
        <v>-8.4552690782049342E-2</v>
      </c>
      <c r="D9" s="327">
        <f t="shared" ca="1" si="3"/>
        <v>-7.0129613858972414E-2</v>
      </c>
    </row>
    <row r="10" spans="1:6">
      <c r="A10" s="328">
        <f t="shared" si="0"/>
        <v>1.9230769230769232E-2</v>
      </c>
      <c r="B10" s="330">
        <f t="shared" ca="1" si="1"/>
        <v>1.5630463825924172</v>
      </c>
      <c r="C10" s="327">
        <f t="shared" ca="1" si="2"/>
        <v>2.3825076109594209E-2</v>
      </c>
      <c r="D10" s="327">
        <f t="shared" ca="1" si="3"/>
        <v>4.3055845340363441E-2</v>
      </c>
    </row>
    <row r="11" spans="1:6">
      <c r="A11" s="328">
        <f t="shared" si="0"/>
        <v>2.403846153846154E-2</v>
      </c>
      <c r="B11" s="330">
        <f t="shared" ca="1" si="1"/>
        <v>-0.56809157147823786</v>
      </c>
      <c r="C11" s="327">
        <f t="shared" ca="1" si="2"/>
        <v>-1.5564987162015459E-2</v>
      </c>
      <c r="D11" s="327">
        <f t="shared" ca="1" si="3"/>
        <v>8.4734743764460808E-3</v>
      </c>
    </row>
    <row r="12" spans="1:6">
      <c r="A12" s="328">
        <f t="shared" si="0"/>
        <v>2.8846153846153848E-2</v>
      </c>
      <c r="B12" s="330">
        <f t="shared" ca="1" si="1"/>
        <v>-0.47223307459043457</v>
      </c>
      <c r="C12" s="327">
        <f t="shared" ca="1" si="2"/>
        <v>-4.8308459554435128E-2</v>
      </c>
      <c r="D12" s="327">
        <f t="shared" ca="1" si="3"/>
        <v>-1.946230570828128E-2</v>
      </c>
    </row>
    <row r="13" spans="1:6">
      <c r="A13" s="328">
        <f t="shared" si="0"/>
        <v>3.3653846153846159E-2</v>
      </c>
      <c r="B13" s="330">
        <f t="shared" ca="1" si="1"/>
        <v>-0.47232272496370437</v>
      </c>
      <c r="C13" s="327">
        <f t="shared" ca="1" si="2"/>
        <v>-8.1058148081810347E-2</v>
      </c>
      <c r="D13" s="327">
        <f t="shared" ca="1" si="3"/>
        <v>-4.7404301927964188E-2</v>
      </c>
    </row>
    <row r="14" spans="1:6">
      <c r="A14" s="328">
        <f t="shared" si="0"/>
        <v>3.8461538461538464E-2</v>
      </c>
      <c r="B14" s="330">
        <f t="shared" ca="1" si="1"/>
        <v>1.5885902016621387</v>
      </c>
      <c r="C14" s="327">
        <f t="shared" ca="1" si="2"/>
        <v>2.9090763991122745E-2</v>
      </c>
      <c r="D14" s="327">
        <f t="shared" ca="1" si="3"/>
        <v>6.7552302452661209E-2</v>
      </c>
    </row>
    <row r="15" spans="1:6">
      <c r="A15" s="328">
        <f t="shared" si="0"/>
        <v>4.3269230769230768E-2</v>
      </c>
      <c r="B15" s="330">
        <f t="shared" ca="1" si="1"/>
        <v>0.21936909789361445</v>
      </c>
      <c r="C15" s="327">
        <f t="shared" ca="1" si="2"/>
        <v>4.4301274197040177E-2</v>
      </c>
      <c r="D15" s="327">
        <f t="shared" ca="1" si="3"/>
        <v>8.7570504966270946E-2</v>
      </c>
    </row>
    <row r="16" spans="1:6">
      <c r="A16" s="328">
        <f t="shared" si="0"/>
        <v>4.807692307692308E-2</v>
      </c>
      <c r="B16" s="330">
        <f t="shared" ca="1" si="1"/>
        <v>1.6527055507904758</v>
      </c>
      <c r="C16" s="327">
        <f t="shared" ca="1" si="2"/>
        <v>0.15889578586279046</v>
      </c>
      <c r="D16" s="327">
        <f t="shared" ca="1" si="3"/>
        <v>0.20697270893971353</v>
      </c>
    </row>
    <row r="17" spans="1:4">
      <c r="A17" s="328">
        <f t="shared" si="0"/>
        <v>5.2884615384615391E-2</v>
      </c>
      <c r="B17" s="330">
        <f t="shared" ca="1" si="1"/>
        <v>-0.16510147741526446</v>
      </c>
      <c r="C17" s="327">
        <f t="shared" ca="1" si="2"/>
        <v>0.14744805812287515</v>
      </c>
      <c r="D17" s="327">
        <f t="shared" ca="1" si="3"/>
        <v>0.20033267350749054</v>
      </c>
    </row>
    <row r="18" spans="1:4">
      <c r="A18" s="328">
        <f t="shared" si="0"/>
        <v>5.7692307692307696E-2</v>
      </c>
      <c r="B18" s="330">
        <f t="shared" ca="1" si="1"/>
        <v>0.24946825178818058</v>
      </c>
      <c r="C18" s="327">
        <f t="shared" ca="1" si="2"/>
        <v>0.16474556915023372</v>
      </c>
      <c r="D18" s="327">
        <f t="shared" ca="1" si="3"/>
        <v>0.2224378768425414</v>
      </c>
    </row>
    <row r="19" spans="1:4">
      <c r="A19" s="328">
        <f t="shared" si="0"/>
        <v>6.25E-2</v>
      </c>
      <c r="B19" s="330">
        <f t="shared" ca="1" si="1"/>
        <v>-0.36597168173164668</v>
      </c>
      <c r="C19" s="327">
        <f t="shared" ca="1" si="2"/>
        <v>0.13936999869155603</v>
      </c>
      <c r="D19" s="327">
        <f t="shared" ca="1" si="3"/>
        <v>0.20186999869155603</v>
      </c>
    </row>
    <row r="20" spans="1:4">
      <c r="A20" s="328">
        <f t="shared" si="0"/>
        <v>6.7307692307692318E-2</v>
      </c>
      <c r="B20" s="330">
        <f t="shared" ca="1" si="1"/>
        <v>-0.13025528926998792</v>
      </c>
      <c r="C20" s="327">
        <f t="shared" ca="1" si="2"/>
        <v>0.13033841937687649</v>
      </c>
      <c r="D20" s="327">
        <f t="shared" ca="1" si="3"/>
        <v>0.1976461116845688</v>
      </c>
    </row>
    <row r="21" spans="1:4">
      <c r="A21" s="328">
        <f t="shared" si="0"/>
        <v>7.2115384615384623E-2</v>
      </c>
      <c r="B21" s="330">
        <f t="shared" ca="1" si="1"/>
        <v>0.62578978531121232</v>
      </c>
      <c r="C21" s="327">
        <f t="shared" ca="1" si="2"/>
        <v>0.17372913396536066</v>
      </c>
      <c r="D21" s="327">
        <f t="shared" ca="1" si="3"/>
        <v>0.2458445185807453</v>
      </c>
    </row>
    <row r="22" spans="1:4">
      <c r="A22" s="328">
        <f t="shared" si="0"/>
        <v>7.6923076923076927E-2</v>
      </c>
      <c r="B22" s="330">
        <f t="shared" ca="1" si="1"/>
        <v>0.12926561862126798</v>
      </c>
      <c r="C22" s="327">
        <f t="shared" ca="1" si="2"/>
        <v>0.1826920919671598</v>
      </c>
      <c r="D22" s="327">
        <f t="shared" ca="1" si="3"/>
        <v>0.25961516889023672</v>
      </c>
    </row>
    <row r="23" spans="1:4">
      <c r="A23" s="328">
        <f t="shared" si="0"/>
        <v>8.1730769230769232E-2</v>
      </c>
      <c r="B23" s="330">
        <f t="shared" ca="1" si="1"/>
        <v>0.7142116771376561</v>
      </c>
      <c r="C23" s="327">
        <f t="shared" ca="1" si="2"/>
        <v>0.23221376164898577</v>
      </c>
      <c r="D23" s="327">
        <f t="shared" ca="1" si="3"/>
        <v>0.31394453087975499</v>
      </c>
    </row>
    <row r="24" spans="1:4">
      <c r="A24" s="328">
        <f t="shared" si="0"/>
        <v>8.6538461538461536E-2</v>
      </c>
      <c r="B24" s="330">
        <f t="shared" ca="1" si="1"/>
        <v>-1.7583612289171695</v>
      </c>
      <c r="C24" s="327">
        <f t="shared" ca="1" si="2"/>
        <v>0.11029334680958715</v>
      </c>
      <c r="D24" s="327">
        <f t="shared" ca="1" si="3"/>
        <v>0.1968318083480487</v>
      </c>
    </row>
    <row r="25" spans="1:4">
      <c r="A25" s="328">
        <f t="shared" si="0"/>
        <v>9.1346153846153855E-2</v>
      </c>
      <c r="B25" s="330">
        <f t="shared" ca="1" si="1"/>
        <v>0.67058497845808196</v>
      </c>
      <c r="C25" s="327">
        <f t="shared" ca="1" si="2"/>
        <v>0.15679004920163578</v>
      </c>
      <c r="D25" s="327">
        <f t="shared" ca="1" si="3"/>
        <v>0.24813620304778963</v>
      </c>
    </row>
    <row r="26" spans="1:4">
      <c r="A26" s="328">
        <f t="shared" si="0"/>
        <v>9.6153846153846159E-2</v>
      </c>
      <c r="B26" s="330">
        <f t="shared" ca="1" si="1"/>
        <v>-0.3946815806426005</v>
      </c>
      <c r="C26" s="327">
        <f t="shared" ca="1" si="2"/>
        <v>0.12942380542301901</v>
      </c>
      <c r="D26" s="327">
        <f t="shared" ca="1" si="3"/>
        <v>0.22557765157686516</v>
      </c>
    </row>
    <row r="27" spans="1:4">
      <c r="A27" s="328">
        <f t="shared" si="0"/>
        <v>0.10096153846153846</v>
      </c>
      <c r="B27" s="330">
        <f t="shared" ca="1" si="1"/>
        <v>-0.41809897065482116</v>
      </c>
      <c r="C27" s="327">
        <f t="shared" ca="1" si="2"/>
        <v>0.10043385779004456</v>
      </c>
      <c r="D27" s="327">
        <f t="shared" ca="1" si="3"/>
        <v>0.20139539625158304</v>
      </c>
    </row>
    <row r="28" spans="1:4">
      <c r="A28" s="328">
        <f t="shared" si="0"/>
        <v>0.10576923076923078</v>
      </c>
      <c r="B28" s="330">
        <f t="shared" ca="1" si="1"/>
        <v>0.87478663555068525</v>
      </c>
      <c r="C28" s="327">
        <f t="shared" ca="1" si="2"/>
        <v>0.16108939758944119</v>
      </c>
      <c r="D28" s="327">
        <f t="shared" ca="1" si="3"/>
        <v>0.26685862835867197</v>
      </c>
    </row>
    <row r="29" spans="1:4">
      <c r="A29" s="328">
        <f t="shared" si="0"/>
        <v>0.11057692307692309</v>
      </c>
      <c r="B29" s="330">
        <f t="shared" ca="1" si="1"/>
        <v>1.1655695292339316</v>
      </c>
      <c r="C29" s="327">
        <f t="shared" ca="1" si="2"/>
        <v>0.24190710341196742</v>
      </c>
      <c r="D29" s="327">
        <f t="shared" ca="1" si="3"/>
        <v>0.35248402648889049</v>
      </c>
    </row>
    <row r="30" spans="1:4">
      <c r="A30" s="328">
        <f t="shared" si="0"/>
        <v>0.11538461538461539</v>
      </c>
      <c r="B30" s="330">
        <f t="shared" ca="1" si="1"/>
        <v>0.38131743901006993</v>
      </c>
      <c r="C30" s="327">
        <f t="shared" ca="1" si="2"/>
        <v>0.2683467106923409</v>
      </c>
      <c r="D30" s="327">
        <f t="shared" ca="1" si="3"/>
        <v>0.38373132607695626</v>
      </c>
    </row>
    <row r="31" spans="1:4">
      <c r="A31" s="328">
        <f t="shared" si="0"/>
        <v>0.1201923076923077</v>
      </c>
      <c r="B31" s="330">
        <f t="shared" ca="1" si="1"/>
        <v>-0.76797308999469205</v>
      </c>
      <c r="C31" s="327">
        <f t="shared" ca="1" si="2"/>
        <v>0.21509735772787197</v>
      </c>
      <c r="D31" s="327">
        <f t="shared" ca="1" si="3"/>
        <v>0.33528966542017968</v>
      </c>
    </row>
    <row r="32" spans="1:4">
      <c r="A32" s="328">
        <f t="shared" si="0"/>
        <v>0.125</v>
      </c>
      <c r="B32" s="330">
        <f t="shared" ca="1" si="1"/>
        <v>-0.65755262803955439</v>
      </c>
      <c r="C32" s="327">
        <f t="shared" ca="1" si="2"/>
        <v>0.16950428625262748</v>
      </c>
      <c r="D32" s="327">
        <f t="shared" ca="1" si="3"/>
        <v>0.29450428625262748</v>
      </c>
    </row>
    <row r="33" spans="1:4">
      <c r="A33" s="328">
        <f t="shared" si="0"/>
        <v>0.12980769230769232</v>
      </c>
      <c r="B33" s="330">
        <f t="shared" ca="1" si="1"/>
        <v>0.14908405211735803</v>
      </c>
      <c r="C33" s="327">
        <f t="shared" ca="1" si="2"/>
        <v>0.17984140537307133</v>
      </c>
      <c r="D33" s="327">
        <f t="shared" ca="1" si="3"/>
        <v>0.30964909768076365</v>
      </c>
    </row>
    <row r="34" spans="1:4">
      <c r="A34" s="328">
        <f t="shared" si="0"/>
        <v>0.13461538461538464</v>
      </c>
      <c r="B34" s="330">
        <f t="shared" ca="1" si="1"/>
        <v>-1.43702587724326</v>
      </c>
      <c r="C34" s="327">
        <f t="shared" ca="1" si="2"/>
        <v>8.0201588362125278E-2</v>
      </c>
      <c r="D34" s="327">
        <f t="shared" ca="1" si="3"/>
        <v>0.2148169729775099</v>
      </c>
    </row>
    <row r="35" spans="1:4">
      <c r="A35" s="328">
        <f t="shared" si="0"/>
        <v>0.13942307692307693</v>
      </c>
      <c r="B35" s="330">
        <f t="shared" ca="1" si="1"/>
        <v>-0.64855701471786142</v>
      </c>
      <c r="C35" s="327">
        <f t="shared" ca="1" si="2"/>
        <v>3.5232250446219457E-2</v>
      </c>
      <c r="D35" s="327">
        <f t="shared" ca="1" si="3"/>
        <v>0.1746553273692964</v>
      </c>
    </row>
    <row r="36" spans="1:4">
      <c r="A36" s="328">
        <f t="shared" si="0"/>
        <v>0.14423076923076925</v>
      </c>
      <c r="B36" s="330">
        <f t="shared" ca="1" si="1"/>
        <v>-0.10440349710113939</v>
      </c>
      <c r="C36" s="327">
        <f t="shared" ca="1" si="2"/>
        <v>2.7993170405144187E-2</v>
      </c>
      <c r="D36" s="327">
        <f t="shared" ca="1" si="3"/>
        <v>0.17222393963591343</v>
      </c>
    </row>
    <row r="37" spans="1:4">
      <c r="A37" s="328">
        <f t="shared" si="0"/>
        <v>0.14903846153846154</v>
      </c>
      <c r="B37" s="330">
        <f t="shared" ca="1" si="1"/>
        <v>-1.3875684982616041</v>
      </c>
      <c r="C37" s="327">
        <f t="shared" ca="1" si="2"/>
        <v>-6.8217394377563106E-2</v>
      </c>
      <c r="D37" s="327">
        <f t="shared" ca="1" si="3"/>
        <v>8.082106716089843E-2</v>
      </c>
    </row>
    <row r="38" spans="1:4">
      <c r="A38" s="328">
        <f t="shared" si="0"/>
        <v>0.15384615384615385</v>
      </c>
      <c r="B38" s="330">
        <f t="shared" ca="1" si="1"/>
        <v>-0.6232280698308158</v>
      </c>
      <c r="C38" s="327">
        <f t="shared" ca="1" si="2"/>
        <v>-0.11143048595609115</v>
      </c>
      <c r="D38" s="327">
        <f t="shared" ca="1" si="3"/>
        <v>4.2415667890062708E-2</v>
      </c>
    </row>
    <row r="39" spans="1:4">
      <c r="A39" s="328">
        <f t="shared" si="0"/>
        <v>0.15865384615384617</v>
      </c>
      <c r="B39" s="330">
        <f t="shared" ca="1" si="1"/>
        <v>1.5486457732491004</v>
      </c>
      <c r="C39" s="327">
        <f t="shared" ca="1" si="2"/>
        <v>-4.0512216680101826E-3</v>
      </c>
      <c r="D39" s="327">
        <f t="shared" ca="1" si="3"/>
        <v>0.154602624485836</v>
      </c>
    </row>
    <row r="40" spans="1:4">
      <c r="A40" s="328">
        <f t="shared" si="0"/>
        <v>0.16346153846153846</v>
      </c>
      <c r="B40" s="330">
        <f t="shared" ca="1" si="1"/>
        <v>0.45226459139508263</v>
      </c>
      <c r="C40" s="327">
        <f t="shared" ref="C40:C71" ca="1" si="4">C39+B40*SQRT($C$3)</f>
        <v>2.7307685531061741E-2</v>
      </c>
      <c r="D40" s="327">
        <f t="shared" ca="1" si="3"/>
        <v>0.19076922399260021</v>
      </c>
    </row>
    <row r="41" spans="1:4">
      <c r="A41" s="328">
        <f t="shared" si="0"/>
        <v>0.16826923076923078</v>
      </c>
      <c r="B41" s="330">
        <f t="shared" ca="1" si="1"/>
        <v>0.38064319712675937</v>
      </c>
      <c r="C41" s="327">
        <f t="shared" ca="1" si="4"/>
        <v>5.3700542548313246E-2</v>
      </c>
      <c r="D41" s="327">
        <f t="shared" ca="1" si="3"/>
        <v>0.22196977331754403</v>
      </c>
    </row>
    <row r="42" spans="1:4">
      <c r="A42" s="328">
        <f t="shared" si="0"/>
        <v>0.17307692307692307</v>
      </c>
      <c r="B42" s="330">
        <f t="shared" ca="1" si="1"/>
        <v>-6.2632298958295515E-2</v>
      </c>
      <c r="C42" s="327">
        <f t="shared" ca="1" si="4"/>
        <v>4.9357773983037777E-2</v>
      </c>
      <c r="D42" s="327">
        <f t="shared" ca="1" si="3"/>
        <v>0.22243469705996086</v>
      </c>
    </row>
    <row r="43" spans="1:4">
      <c r="A43" s="328">
        <f t="shared" si="0"/>
        <v>0.17788461538461539</v>
      </c>
      <c r="B43" s="330">
        <f t="shared" ca="1" si="1"/>
        <v>-0.19174912560058771</v>
      </c>
      <c r="C43" s="327">
        <f t="shared" ca="1" si="4"/>
        <v>3.6062364283455009E-2</v>
      </c>
      <c r="D43" s="327">
        <f t="shared" ca="1" si="3"/>
        <v>0.21394697966807041</v>
      </c>
    </row>
    <row r="44" spans="1:4">
      <c r="A44" s="328">
        <f t="shared" si="0"/>
        <v>0.18269230769230771</v>
      </c>
      <c r="B44" s="330">
        <f t="shared" ca="1" si="1"/>
        <v>-0.4670285330412085</v>
      </c>
      <c r="C44" s="327">
        <f t="shared" ca="1" si="4"/>
        <v>3.6797619183625979E-3</v>
      </c>
      <c r="D44" s="327">
        <f t="shared" ca="1" si="3"/>
        <v>0.18637206961067032</v>
      </c>
    </row>
    <row r="45" spans="1:4">
      <c r="A45" s="328">
        <f t="shared" si="0"/>
        <v>0.1875</v>
      </c>
      <c r="B45" s="330">
        <f t="shared" ca="1" si="1"/>
        <v>0.1345313056742522</v>
      </c>
      <c r="C45" s="327">
        <f t="shared" ca="1" si="4"/>
        <v>1.3007829625355596E-2</v>
      </c>
      <c r="D45" s="327">
        <f t="shared" ca="1" si="3"/>
        <v>0.2005078296253556</v>
      </c>
    </row>
    <row r="46" spans="1:4">
      <c r="A46" s="328">
        <f t="shared" si="0"/>
        <v>0.19230769230769232</v>
      </c>
      <c r="B46" s="330">
        <f t="shared" ca="1" si="1"/>
        <v>-0.65430112600127666</v>
      </c>
      <c r="C46" s="327">
        <f t="shared" ca="1" si="4"/>
        <v>-3.2359790747556474E-2</v>
      </c>
      <c r="D46" s="327">
        <f t="shared" ca="1" si="3"/>
        <v>0.15994790156013583</v>
      </c>
    </row>
    <row r="47" spans="1:4">
      <c r="A47" s="328">
        <f t="shared" si="0"/>
        <v>0.19711538461538464</v>
      </c>
      <c r="B47" s="330">
        <f t="shared" ca="1" si="1"/>
        <v>-0.75807744059725068</v>
      </c>
      <c r="C47" s="327">
        <f t="shared" ca="1" si="4"/>
        <v>-8.4923003879208286E-2</v>
      </c>
      <c r="D47" s="327">
        <f t="shared" ca="1" si="3"/>
        <v>0.11219238073617635</v>
      </c>
    </row>
    <row r="48" spans="1:4">
      <c r="A48" s="328">
        <f t="shared" si="0"/>
        <v>0.20192307692307693</v>
      </c>
      <c r="B48" s="330">
        <f t="shared" ca="1" si="1"/>
        <v>0.69301613042223953</v>
      </c>
      <c r="C48" s="327">
        <f t="shared" ca="1" si="4"/>
        <v>-3.6870980937650129E-2</v>
      </c>
      <c r="D48" s="327">
        <f t="shared" ca="1" si="3"/>
        <v>0.16505209598542681</v>
      </c>
    </row>
    <row r="49" spans="1:4">
      <c r="A49" s="328">
        <f t="shared" si="0"/>
        <v>0.20673076923076925</v>
      </c>
      <c r="B49" s="330">
        <f t="shared" ca="1" si="1"/>
        <v>-0.10280581931155777</v>
      </c>
      <c r="C49" s="327">
        <f t="shared" ca="1" si="4"/>
        <v>-4.3999281955802196E-2</v>
      </c>
      <c r="D49" s="327">
        <f t="shared" ca="1" si="3"/>
        <v>0.16273148727496706</v>
      </c>
    </row>
    <row r="50" spans="1:4">
      <c r="A50" s="328">
        <f t="shared" si="0"/>
        <v>0.21153846153846156</v>
      </c>
      <c r="B50" s="330">
        <f t="shared" ca="1" si="1"/>
        <v>-0.19008453081696086</v>
      </c>
      <c r="C50" s="327">
        <f t="shared" ca="1" si="4"/>
        <v>-5.7179272773745793E-2</v>
      </c>
      <c r="D50" s="327">
        <f t="shared" ca="1" si="3"/>
        <v>0.15435918876471577</v>
      </c>
    </row>
    <row r="51" spans="1:4">
      <c r="A51" s="328">
        <f t="shared" si="0"/>
        <v>0.21634615384615385</v>
      </c>
      <c r="B51" s="330">
        <f t="shared" ca="1" si="1"/>
        <v>0.72440070803149381</v>
      </c>
      <c r="C51" s="327">
        <f t="shared" ca="1" si="4"/>
        <v>-6.951120912400223E-3</v>
      </c>
      <c r="D51" s="327">
        <f t="shared" ca="1" si="3"/>
        <v>0.20939503293375364</v>
      </c>
    </row>
    <row r="52" spans="1:4">
      <c r="A52" s="328">
        <f t="shared" si="0"/>
        <v>0.22115384615384617</v>
      </c>
      <c r="B52" s="330">
        <f t="shared" ca="1" si="1"/>
        <v>-1.1524353857550251</v>
      </c>
      <c r="C52" s="327">
        <f t="shared" ca="1" si="4"/>
        <v>-8.6858137739301483E-2</v>
      </c>
      <c r="D52" s="327">
        <f t="shared" ca="1" si="3"/>
        <v>0.13429570841454469</v>
      </c>
    </row>
    <row r="53" spans="1:4">
      <c r="A53" s="328">
        <f t="shared" si="0"/>
        <v>0.22596153846153846</v>
      </c>
      <c r="B53" s="330">
        <f t="shared" ca="1" si="1"/>
        <v>-1.5887442669648206</v>
      </c>
      <c r="C53" s="327">
        <f t="shared" ca="1" si="4"/>
        <v>-0.19701773231893821</v>
      </c>
      <c r="D53" s="327">
        <f t="shared" ca="1" si="3"/>
        <v>2.8943806142600254E-2</v>
      </c>
    </row>
    <row r="54" spans="1:4">
      <c r="A54" s="328">
        <f t="shared" si="0"/>
        <v>0.23076923076923078</v>
      </c>
      <c r="B54" s="330">
        <f t="shared" ca="1" si="1"/>
        <v>5.7089362374864915E-2</v>
      </c>
      <c r="C54" s="327">
        <f t="shared" ca="1" si="4"/>
        <v>-0.19305929725497437</v>
      </c>
      <c r="D54" s="327">
        <f t="shared" ca="1" si="3"/>
        <v>3.7709933514256416E-2</v>
      </c>
    </row>
    <row r="55" spans="1:4">
      <c r="A55" s="328">
        <f t="shared" si="0"/>
        <v>0.2355769230769231</v>
      </c>
      <c r="B55" s="330">
        <f t="shared" ca="1" si="1"/>
        <v>0.40969332811441705</v>
      </c>
      <c r="C55" s="327">
        <f t="shared" ca="1" si="4"/>
        <v>-0.16465217606782007</v>
      </c>
      <c r="D55" s="327">
        <f t="shared" ca="1" si="3"/>
        <v>7.0924747009103034E-2</v>
      </c>
    </row>
    <row r="56" spans="1:4">
      <c r="A56" s="328">
        <f t="shared" si="0"/>
        <v>0.24038461538461539</v>
      </c>
      <c r="B56" s="330">
        <f t="shared" ca="1" si="1"/>
        <v>-2.4220240432988995</v>
      </c>
      <c r="C56" s="327">
        <f t="shared" ca="1" si="4"/>
        <v>-0.33258932757783538</v>
      </c>
      <c r="D56" s="327">
        <f t="shared" ca="1" si="3"/>
        <v>-9.220471219321999E-2</v>
      </c>
    </row>
    <row r="57" spans="1:4">
      <c r="A57" s="328">
        <f t="shared" si="0"/>
        <v>0.24519230769230771</v>
      </c>
      <c r="B57" s="330">
        <f t="shared" ca="1" si="1"/>
        <v>0.27204309266669452</v>
      </c>
      <c r="C57" s="327">
        <f t="shared" ca="1" si="4"/>
        <v>-0.31372653296734365</v>
      </c>
      <c r="D57" s="327">
        <f t="shared" ca="1" si="3"/>
        <v>-6.8534225275035943E-2</v>
      </c>
    </row>
    <row r="58" spans="1:4">
      <c r="A58" s="328">
        <f t="shared" si="0"/>
        <v>0.25</v>
      </c>
      <c r="B58" s="330">
        <f t="shared" ca="1" si="1"/>
        <v>0.82079308764143621</v>
      </c>
      <c r="C58" s="327">
        <f t="shared" ca="1" si="4"/>
        <v>-0.25681477212046661</v>
      </c>
      <c r="D58" s="327">
        <f t="shared" ca="1" si="3"/>
        <v>-6.8147721204666056E-3</v>
      </c>
    </row>
    <row r="59" spans="1:4">
      <c r="A59" s="328">
        <f t="shared" si="0"/>
        <v>0.25480769230769235</v>
      </c>
      <c r="B59" s="330">
        <f t="shared" ca="1" si="1"/>
        <v>0.30934422980503723</v>
      </c>
      <c r="C59" s="327">
        <f t="shared" ca="1" si="4"/>
        <v>-0.23536560899871703</v>
      </c>
      <c r="D59" s="327">
        <f t="shared" ca="1" si="3"/>
        <v>1.9442083308975316E-2</v>
      </c>
    </row>
    <row r="60" spans="1:4">
      <c r="A60" s="328">
        <f t="shared" si="0"/>
        <v>0.25961538461538464</v>
      </c>
      <c r="B60" s="330">
        <f t="shared" ca="1" si="1"/>
        <v>-1.5424312982785002</v>
      </c>
      <c r="C60" s="327">
        <f t="shared" ca="1" si="4"/>
        <v>-0.34231397697609439</v>
      </c>
      <c r="D60" s="327">
        <f t="shared" ca="1" si="3"/>
        <v>-8.2698592360709755E-2</v>
      </c>
    </row>
    <row r="61" spans="1:4">
      <c r="A61" s="328">
        <f t="shared" si="0"/>
        <v>0.26442307692307693</v>
      </c>
      <c r="B61" s="330">
        <f t="shared" ca="1" si="1"/>
        <v>-1.8737054218381972</v>
      </c>
      <c r="C61" s="327">
        <f t="shared" ca="1" si="4"/>
        <v>-0.47223207262133482</v>
      </c>
      <c r="D61" s="327">
        <f t="shared" ca="1" si="3"/>
        <v>-0.20780899569825789</v>
      </c>
    </row>
    <row r="62" spans="1:4">
      <c r="A62" s="328">
        <f t="shared" si="0"/>
        <v>0.26923076923076927</v>
      </c>
      <c r="B62" s="330">
        <f t="shared" ca="1" si="1"/>
        <v>0.59670231237744853</v>
      </c>
      <c r="C62" s="327">
        <f t="shared" ca="1" si="4"/>
        <v>-0.4308582114008575</v>
      </c>
      <c r="D62" s="327">
        <f t="shared" ca="1" si="3"/>
        <v>-0.16162744217008823</v>
      </c>
    </row>
    <row r="63" spans="1:4">
      <c r="A63" s="328">
        <f t="shared" si="0"/>
        <v>0.27403846153846156</v>
      </c>
      <c r="B63" s="330">
        <f t="shared" ca="1" si="1"/>
        <v>-1.6469226900230627</v>
      </c>
      <c r="C63" s="327">
        <f t="shared" ca="1" si="4"/>
        <v>-0.54505175381630444</v>
      </c>
      <c r="D63" s="327">
        <f t="shared" ca="1" si="3"/>
        <v>-0.27101329227784288</v>
      </c>
    </row>
    <row r="64" spans="1:4">
      <c r="A64" s="328">
        <f t="shared" si="0"/>
        <v>0.27884615384615385</v>
      </c>
      <c r="B64" s="330">
        <f t="shared" ca="1" si="1"/>
        <v>3.1182702251839785</v>
      </c>
      <c r="C64" s="327">
        <f t="shared" ca="1" si="4"/>
        <v>-0.32883861559219918</v>
      </c>
      <c r="D64" s="327">
        <f t="shared" ca="1" si="3"/>
        <v>-4.9992461746045325E-2</v>
      </c>
    </row>
    <row r="65" spans="1:4">
      <c r="A65" s="328">
        <f t="shared" si="0"/>
        <v>0.28365384615384615</v>
      </c>
      <c r="B65" s="330">
        <f t="shared" ca="1" si="1"/>
        <v>-0.5706148511292376</v>
      </c>
      <c r="C65" s="327">
        <f t="shared" ca="1" si="4"/>
        <v>-0.36840363682850141</v>
      </c>
      <c r="D65" s="327">
        <f t="shared" ca="1" si="3"/>
        <v>-8.4749790674655268E-2</v>
      </c>
    </row>
    <row r="66" spans="1:4">
      <c r="A66" s="328">
        <f t="shared" si="0"/>
        <v>0.28846153846153849</v>
      </c>
      <c r="B66" s="330">
        <f t="shared" ca="1" si="1"/>
        <v>0.77073360195951146</v>
      </c>
      <c r="C66" s="327">
        <f t="shared" ca="1" si="4"/>
        <v>-0.31496287679796159</v>
      </c>
      <c r="D66" s="327">
        <f t="shared" ca="1" si="3"/>
        <v>-2.6501338336423097E-2</v>
      </c>
    </row>
    <row r="67" spans="1:4">
      <c r="A67" s="328">
        <f t="shared" si="0"/>
        <v>0.29326923076923078</v>
      </c>
      <c r="B67" s="330">
        <f t="shared" ca="1" si="1"/>
        <v>-0.84407204894607901</v>
      </c>
      <c r="C67" s="327">
        <f t="shared" ca="1" si="4"/>
        <v>-0.37348874319528924</v>
      </c>
      <c r="D67" s="327">
        <f t="shared" ca="1" si="3"/>
        <v>-8.0219512426058459E-2</v>
      </c>
    </row>
    <row r="68" spans="1:4">
      <c r="A68" s="328">
        <f t="shared" si="0"/>
        <v>0.29807692307692307</v>
      </c>
      <c r="B68" s="330">
        <f t="shared" ca="1" si="1"/>
        <v>-1.017761151722205E-2</v>
      </c>
      <c r="C68" s="327">
        <f t="shared" ca="1" si="4"/>
        <v>-0.37419443358350263</v>
      </c>
      <c r="D68" s="327">
        <f t="shared" ca="1" si="3"/>
        <v>-7.6117510506579555E-2</v>
      </c>
    </row>
    <row r="69" spans="1:4">
      <c r="A69" s="328">
        <f t="shared" si="0"/>
        <v>0.30288461538461542</v>
      </c>
      <c r="B69" s="330">
        <f t="shared" ca="1" si="1"/>
        <v>0.82758733655248884</v>
      </c>
      <c r="C69" s="327">
        <f t="shared" ca="1" si="4"/>
        <v>-0.31681157633610507</v>
      </c>
      <c r="D69" s="327">
        <f t="shared" ca="1" si="3"/>
        <v>-1.3926960951489653E-2</v>
      </c>
    </row>
    <row r="70" spans="1:4">
      <c r="A70" s="328">
        <f t="shared" si="0"/>
        <v>0.30769230769230771</v>
      </c>
      <c r="B70" s="330">
        <f t="shared" ca="1" si="1"/>
        <v>2.9069336626490428E-3</v>
      </c>
      <c r="C70" s="327">
        <f t="shared" ca="1" si="4"/>
        <v>-0.31661001675196943</v>
      </c>
      <c r="D70" s="327">
        <f t="shared" ca="1" si="3"/>
        <v>-8.9177090596617159E-3</v>
      </c>
    </row>
    <row r="71" spans="1:4">
      <c r="A71" s="328">
        <f t="shared" si="0"/>
        <v>0.3125</v>
      </c>
      <c r="B71" s="330">
        <f t="shared" ca="1" si="1"/>
        <v>1.5221481075252274</v>
      </c>
      <c r="C71" s="327">
        <f t="shared" ca="1" si="4"/>
        <v>-0.21106803501095633</v>
      </c>
      <c r="D71" s="327">
        <f t="shared" ca="1" si="3"/>
        <v>0.10143196498904367</v>
      </c>
    </row>
    <row r="72" spans="1:4">
      <c r="A72" s="328">
        <f t="shared" ref="A72:A135" si="5">IF(ROW()-6&gt;2*$C$2,"",$C$3*(ROW()-6))</f>
        <v>0.31730769230769235</v>
      </c>
      <c r="B72" s="330">
        <f t="shared" ref="B72:B135" ca="1" si="6">NORMINV(RAND(),0,1)</f>
        <v>-0.14968196039386814</v>
      </c>
      <c r="C72" s="327">
        <f t="shared" ref="C72:C103" ca="1" si="7">C71+B72*SQRT($C$3)</f>
        <v>-0.22144661161118828</v>
      </c>
      <c r="D72" s="327">
        <f t="shared" ref="D72:D135" ca="1" si="8">$D$4*A72+C72</f>
        <v>9.5861080696504064E-2</v>
      </c>
    </row>
    <row r="73" spans="1:4">
      <c r="A73" s="328">
        <f t="shared" si="5"/>
        <v>0.32211538461538464</v>
      </c>
      <c r="B73" s="330">
        <f t="shared" ca="1" si="6"/>
        <v>0.17109780420085366</v>
      </c>
      <c r="C73" s="327">
        <f t="shared" ca="1" si="7"/>
        <v>-0.20958311341569835</v>
      </c>
      <c r="D73" s="327">
        <f t="shared" ca="1" si="8"/>
        <v>0.11253227119968628</v>
      </c>
    </row>
    <row r="74" spans="1:4">
      <c r="A74" s="328">
        <f t="shared" si="5"/>
        <v>0.32692307692307693</v>
      </c>
      <c r="B74" s="330">
        <f t="shared" ca="1" si="6"/>
        <v>-0.22216368712006329</v>
      </c>
      <c r="C74" s="327">
        <f t="shared" ca="1" si="7"/>
        <v>-0.22498739352065078</v>
      </c>
      <c r="D74" s="327">
        <f t="shared" ca="1" si="8"/>
        <v>0.10193568340242615</v>
      </c>
    </row>
    <row r="75" spans="1:4">
      <c r="A75" s="328">
        <f t="shared" si="5"/>
        <v>0.33173076923076927</v>
      </c>
      <c r="B75" s="330">
        <f t="shared" ca="1" si="6"/>
        <v>0.99516560880069382</v>
      </c>
      <c r="C75" s="327">
        <f t="shared" ca="1" si="7"/>
        <v>-0.15598507371085774</v>
      </c>
      <c r="D75" s="327">
        <f t="shared" ca="1" si="8"/>
        <v>0.17574569551991154</v>
      </c>
    </row>
    <row r="76" spans="1:4">
      <c r="A76" s="328">
        <f t="shared" si="5"/>
        <v>0.33653846153846156</v>
      </c>
      <c r="B76" s="330">
        <f t="shared" ca="1" si="6"/>
        <v>0.37582665953844502</v>
      </c>
      <c r="C76" s="327">
        <f t="shared" ca="1" si="7"/>
        <v>-0.12992618348677676</v>
      </c>
      <c r="D76" s="327">
        <f t="shared" ca="1" si="8"/>
        <v>0.20661227805168481</v>
      </c>
    </row>
    <row r="77" spans="1:4">
      <c r="A77" s="328">
        <f t="shared" si="5"/>
        <v>0.34134615384615385</v>
      </c>
      <c r="B77" s="330">
        <f t="shared" ca="1" si="6"/>
        <v>-1.4102249638712783</v>
      </c>
      <c r="C77" s="327">
        <f t="shared" ca="1" si="7"/>
        <v>-0.22770769150941611</v>
      </c>
      <c r="D77" s="327">
        <f t="shared" ca="1" si="8"/>
        <v>0.11363846233673774</v>
      </c>
    </row>
    <row r="78" spans="1:4">
      <c r="A78" s="328">
        <f t="shared" si="5"/>
        <v>0.34615384615384615</v>
      </c>
      <c r="B78" s="330">
        <f t="shared" ca="1" si="6"/>
        <v>0.14175583801193517</v>
      </c>
      <c r="C78" s="327">
        <f t="shared" ca="1" si="7"/>
        <v>-0.21787869261425458</v>
      </c>
      <c r="D78" s="327">
        <f t="shared" ca="1" si="8"/>
        <v>0.12827515353959157</v>
      </c>
    </row>
    <row r="79" spans="1:4">
      <c r="A79" s="328">
        <f t="shared" si="5"/>
        <v>0.35096153846153849</v>
      </c>
      <c r="B79" s="330">
        <f t="shared" ca="1" si="6"/>
        <v>0.78176279706605201</v>
      </c>
      <c r="C79" s="327">
        <f t="shared" ca="1" si="7"/>
        <v>-0.16367319549748921</v>
      </c>
      <c r="D79" s="327">
        <f t="shared" ca="1" si="8"/>
        <v>0.18728834296404928</v>
      </c>
    </row>
    <row r="80" spans="1:4">
      <c r="A80" s="328">
        <f t="shared" si="5"/>
        <v>0.35576923076923078</v>
      </c>
      <c r="B80" s="330">
        <f t="shared" ca="1" si="6"/>
        <v>0.52008719169612427</v>
      </c>
      <c r="C80" s="327">
        <f t="shared" ca="1" si="7"/>
        <v>-0.12761163708648066</v>
      </c>
      <c r="D80" s="327">
        <f t="shared" ca="1" si="8"/>
        <v>0.22815759368275013</v>
      </c>
    </row>
    <row r="81" spans="1:4">
      <c r="A81" s="328">
        <f t="shared" si="5"/>
        <v>0.36057692307692307</v>
      </c>
      <c r="B81" s="330">
        <f t="shared" ca="1" si="6"/>
        <v>0.90992719385145959</v>
      </c>
      <c r="C81" s="327">
        <f t="shared" ca="1" si="7"/>
        <v>-6.4519537963971058E-2</v>
      </c>
      <c r="D81" s="327">
        <f t="shared" ca="1" si="8"/>
        <v>0.29605738511295199</v>
      </c>
    </row>
    <row r="82" spans="1:4">
      <c r="A82" s="328">
        <f t="shared" si="5"/>
        <v>0.36538461538461542</v>
      </c>
      <c r="B82" s="330">
        <f t="shared" ca="1" si="6"/>
        <v>-0.25193201660216968</v>
      </c>
      <c r="C82" s="327">
        <f t="shared" ca="1" si="7"/>
        <v>-8.1987880344551206E-2</v>
      </c>
      <c r="D82" s="327">
        <f t="shared" ca="1" si="8"/>
        <v>0.28339673504006424</v>
      </c>
    </row>
    <row r="83" spans="1:4">
      <c r="A83" s="328">
        <f t="shared" si="5"/>
        <v>0.37019230769230771</v>
      </c>
      <c r="B83" s="330">
        <f t="shared" ca="1" si="6"/>
        <v>-0.63469276210961034</v>
      </c>
      <c r="C83" s="327">
        <f t="shared" ca="1" si="7"/>
        <v>-0.12599590530516791</v>
      </c>
      <c r="D83" s="327">
        <f t="shared" ca="1" si="8"/>
        <v>0.2441964023871398</v>
      </c>
    </row>
    <row r="84" spans="1:4">
      <c r="A84" s="328">
        <f t="shared" si="5"/>
        <v>0.375</v>
      </c>
      <c r="B84" s="330">
        <f t="shared" ca="1" si="6"/>
        <v>0.61264637266472133</v>
      </c>
      <c r="C84" s="327">
        <f t="shared" ca="1" si="7"/>
        <v>-8.3516522413443428E-2</v>
      </c>
      <c r="D84" s="327">
        <f t="shared" ca="1" si="8"/>
        <v>0.29148347758655657</v>
      </c>
    </row>
    <row r="85" spans="1:4">
      <c r="A85" s="328">
        <f t="shared" si="5"/>
        <v>0.37980769230769235</v>
      </c>
      <c r="B85" s="330">
        <f t="shared" ca="1" si="6"/>
        <v>1.2856685932783183</v>
      </c>
      <c r="C85" s="327">
        <f t="shared" ca="1" si="7"/>
        <v>5.6285552080687501E-3</v>
      </c>
      <c r="D85" s="327">
        <f t="shared" ca="1" si="8"/>
        <v>0.38543624751576111</v>
      </c>
    </row>
    <row r="86" spans="1:4">
      <c r="A86" s="328">
        <f t="shared" si="5"/>
        <v>0.38461538461538464</v>
      </c>
      <c r="B86" s="330">
        <f t="shared" ca="1" si="6"/>
        <v>-0.28492490610851612</v>
      </c>
      <c r="C86" s="327">
        <f t="shared" ca="1" si="7"/>
        <v>-1.412743245791236E-2</v>
      </c>
      <c r="D86" s="327">
        <f t="shared" ca="1" si="8"/>
        <v>0.37048795215747227</v>
      </c>
    </row>
    <row r="87" spans="1:4">
      <c r="A87" s="328">
        <f t="shared" si="5"/>
        <v>0.38942307692307693</v>
      </c>
      <c r="B87" s="330">
        <f t="shared" ca="1" si="6"/>
        <v>-1.0767517589317881</v>
      </c>
      <c r="C87" s="327">
        <f t="shared" ca="1" si="7"/>
        <v>-8.8786733953577793E-2</v>
      </c>
      <c r="D87" s="327">
        <f t="shared" ca="1" si="8"/>
        <v>0.30063634296949915</v>
      </c>
    </row>
    <row r="88" spans="1:4">
      <c r="A88" s="328">
        <f t="shared" si="5"/>
        <v>0.39423076923076927</v>
      </c>
      <c r="B88" s="330">
        <f t="shared" ca="1" si="6"/>
        <v>-0.6589599352400064</v>
      </c>
      <c r="C88" s="327">
        <f t="shared" ca="1" si="7"/>
        <v>-0.13447738462635228</v>
      </c>
      <c r="D88" s="327">
        <f t="shared" ca="1" si="8"/>
        <v>0.25975338460441699</v>
      </c>
    </row>
    <row r="89" spans="1:4">
      <c r="A89" s="328">
        <f t="shared" si="5"/>
        <v>0.39903846153846156</v>
      </c>
      <c r="B89" s="330">
        <f t="shared" ca="1" si="6"/>
        <v>-0.41118174994576234</v>
      </c>
      <c r="C89" s="327">
        <f t="shared" ca="1" si="7"/>
        <v>-0.16298770929874573</v>
      </c>
      <c r="D89" s="327">
        <f t="shared" ca="1" si="8"/>
        <v>0.23605075223971583</v>
      </c>
    </row>
    <row r="90" spans="1:4">
      <c r="A90" s="328">
        <f t="shared" si="5"/>
        <v>0.40384615384615385</v>
      </c>
      <c r="B90" s="330">
        <f t="shared" ca="1" si="6"/>
        <v>1.4229427660081779</v>
      </c>
      <c r="C90" s="327">
        <f t="shared" ca="1" si="7"/>
        <v>-6.4324380358494901E-2</v>
      </c>
      <c r="D90" s="327">
        <f t="shared" ca="1" si="8"/>
        <v>0.33952177348765894</v>
      </c>
    </row>
    <row r="91" spans="1:4">
      <c r="A91" s="328">
        <f t="shared" si="5"/>
        <v>0.4086538461538462</v>
      </c>
      <c r="B91" s="330">
        <f t="shared" ca="1" si="6"/>
        <v>0.77056507639529292</v>
      </c>
      <c r="C91" s="327">
        <f t="shared" ca="1" si="7"/>
        <v>-1.089530547339769E-2</v>
      </c>
      <c r="D91" s="327">
        <f t="shared" ca="1" si="8"/>
        <v>0.39775854068044852</v>
      </c>
    </row>
    <row r="92" spans="1:4">
      <c r="A92" s="328">
        <f t="shared" si="5"/>
        <v>0.41346153846153849</v>
      </c>
      <c r="B92" s="330">
        <f t="shared" ca="1" si="6"/>
        <v>1.4520381654422709</v>
      </c>
      <c r="C92" s="327">
        <f t="shared" ca="1" si="7"/>
        <v>8.9785426438770993E-2</v>
      </c>
      <c r="D92" s="327">
        <f t="shared" ca="1" si="8"/>
        <v>0.50324696490030951</v>
      </c>
    </row>
    <row r="93" spans="1:4">
      <c r="A93" s="328">
        <f t="shared" si="5"/>
        <v>0.41826923076923078</v>
      </c>
      <c r="B93" s="330">
        <f t="shared" ca="1" si="6"/>
        <v>0.67066450349540507</v>
      </c>
      <c r="C93" s="327">
        <f t="shared" ca="1" si="7"/>
        <v>0.13628764290004564</v>
      </c>
      <c r="D93" s="327">
        <f t="shared" ca="1" si="8"/>
        <v>0.55455687366927642</v>
      </c>
    </row>
    <row r="94" spans="1:4">
      <c r="A94" s="328">
        <f t="shared" si="5"/>
        <v>0.42307692307692313</v>
      </c>
      <c r="B94" s="330">
        <f t="shared" ca="1" si="6"/>
        <v>1.4886421695136509</v>
      </c>
      <c r="C94" s="327">
        <f t="shared" ca="1" si="7"/>
        <v>0.23950640584234226</v>
      </c>
      <c r="D94" s="327">
        <f t="shared" ca="1" si="8"/>
        <v>0.66258332891926541</v>
      </c>
    </row>
    <row r="95" spans="1:4">
      <c r="A95" s="328">
        <f t="shared" si="5"/>
        <v>0.42788461538461542</v>
      </c>
      <c r="B95" s="330">
        <f t="shared" ca="1" si="6"/>
        <v>-1.5246648628730808</v>
      </c>
      <c r="C95" s="327">
        <f t="shared" ca="1" si="7"/>
        <v>0.13378991851566602</v>
      </c>
      <c r="D95" s="327">
        <f t="shared" ca="1" si="8"/>
        <v>0.56167453390028144</v>
      </c>
    </row>
    <row r="96" spans="1:4">
      <c r="A96" s="328">
        <f t="shared" si="5"/>
        <v>0.43269230769230771</v>
      </c>
      <c r="B96" s="330">
        <f t="shared" ca="1" si="6"/>
        <v>0.89739023307696464</v>
      </c>
      <c r="C96" s="327">
        <f t="shared" ca="1" si="7"/>
        <v>0.19601273581296558</v>
      </c>
      <c r="D96" s="327">
        <f t="shared" ca="1" si="8"/>
        <v>0.62870504350527323</v>
      </c>
    </row>
    <row r="97" spans="1:4">
      <c r="A97" s="328">
        <f t="shared" si="5"/>
        <v>0.4375</v>
      </c>
      <c r="B97" s="330">
        <f t="shared" ca="1" si="6"/>
        <v>0.33993934097794315</v>
      </c>
      <c r="C97" s="327">
        <f t="shared" ca="1" si="7"/>
        <v>0.21958328820610809</v>
      </c>
      <c r="D97" s="327">
        <f t="shared" ca="1" si="8"/>
        <v>0.65708328820610806</v>
      </c>
    </row>
    <row r="98" spans="1:4">
      <c r="A98" s="328">
        <f t="shared" si="5"/>
        <v>0.44230769230769235</v>
      </c>
      <c r="B98" s="330">
        <f t="shared" ca="1" si="6"/>
        <v>0.47500896179440577</v>
      </c>
      <c r="C98" s="327">
        <f t="shared" ca="1" si="7"/>
        <v>0.25251923374562052</v>
      </c>
      <c r="D98" s="327">
        <f t="shared" ca="1" si="8"/>
        <v>0.69482692605331287</v>
      </c>
    </row>
    <row r="99" spans="1:4">
      <c r="A99" s="328">
        <f t="shared" si="5"/>
        <v>0.44711538461538464</v>
      </c>
      <c r="B99" s="330">
        <f t="shared" ca="1" si="6"/>
        <v>-0.57596539521943246</v>
      </c>
      <c r="C99" s="327">
        <f t="shared" ca="1" si="7"/>
        <v>0.21258321902722541</v>
      </c>
      <c r="D99" s="327">
        <f t="shared" ca="1" si="8"/>
        <v>0.65969860364261002</v>
      </c>
    </row>
    <row r="100" spans="1:4">
      <c r="A100" s="328">
        <f t="shared" si="5"/>
        <v>0.45192307692307693</v>
      </c>
      <c r="B100" s="330">
        <f t="shared" ca="1" si="6"/>
        <v>3.4190283484943984E-3</v>
      </c>
      <c r="C100" s="327">
        <f t="shared" ca="1" si="7"/>
        <v>0.21282028598920158</v>
      </c>
      <c r="D100" s="327">
        <f t="shared" ca="1" si="8"/>
        <v>0.66474336291227853</v>
      </c>
    </row>
    <row r="101" spans="1:4">
      <c r="A101" s="328">
        <f t="shared" si="5"/>
        <v>0.45673076923076927</v>
      </c>
      <c r="B101" s="330">
        <f t="shared" ca="1" si="6"/>
        <v>-0.1818026595336682</v>
      </c>
      <c r="C101" s="327">
        <f t="shared" ca="1" si="7"/>
        <v>0.20021453962450231</v>
      </c>
      <c r="D101" s="327">
        <f t="shared" ca="1" si="8"/>
        <v>0.65694530885527158</v>
      </c>
    </row>
    <row r="102" spans="1:4">
      <c r="A102" s="328">
        <f t="shared" si="5"/>
        <v>0.46153846153846156</v>
      </c>
      <c r="B102" s="330">
        <f t="shared" ca="1" si="6"/>
        <v>1.1063827100785411</v>
      </c>
      <c r="C102" s="327">
        <f t="shared" ca="1" si="7"/>
        <v>0.27692837792209823</v>
      </c>
      <c r="D102" s="327">
        <f t="shared" ca="1" si="8"/>
        <v>0.7384668394605598</v>
      </c>
    </row>
    <row r="103" spans="1:4">
      <c r="A103" s="328">
        <f t="shared" si="5"/>
        <v>0.46634615384615385</v>
      </c>
      <c r="B103" s="330">
        <f t="shared" ca="1" si="6"/>
        <v>0.96667343232004854</v>
      </c>
      <c r="C103" s="327">
        <f t="shared" ca="1" si="7"/>
        <v>0.34395512074630408</v>
      </c>
      <c r="D103" s="327">
        <f t="shared" ca="1" si="8"/>
        <v>0.81030127459245793</v>
      </c>
    </row>
    <row r="104" spans="1:4">
      <c r="A104" s="328">
        <f t="shared" si="5"/>
        <v>0.4711538461538462</v>
      </c>
      <c r="B104" s="330">
        <f t="shared" ca="1" si="6"/>
        <v>0.39319023336678111</v>
      </c>
      <c r="C104" s="327">
        <f t="shared" ref="C104:C111" ca="1" si="9">C103+B104*SQRT($C$3)</f>
        <v>0.37121795819660369</v>
      </c>
      <c r="D104" s="327">
        <f t="shared" ca="1" si="8"/>
        <v>0.84237180435044989</v>
      </c>
    </row>
    <row r="105" spans="1:4">
      <c r="A105" s="328">
        <f t="shared" si="5"/>
        <v>0.47596153846153849</v>
      </c>
      <c r="B105" s="330">
        <f t="shared" ca="1" si="6"/>
        <v>-1.5627011977495973</v>
      </c>
      <c r="C105" s="327">
        <f t="shared" ca="1" si="9"/>
        <v>0.26286412556746591</v>
      </c>
      <c r="D105" s="327">
        <f t="shared" ca="1" si="8"/>
        <v>0.7388256640290044</v>
      </c>
    </row>
    <row r="106" spans="1:4">
      <c r="A106" s="328">
        <f t="shared" si="5"/>
        <v>0.48076923076923078</v>
      </c>
      <c r="B106" s="330">
        <f t="shared" ca="1" si="6"/>
        <v>-1.1127842831119514</v>
      </c>
      <c r="C106" s="327">
        <f t="shared" ca="1" si="9"/>
        <v>0.18570641804264709</v>
      </c>
      <c r="D106" s="327">
        <f t="shared" ca="1" si="8"/>
        <v>0.66647564881187793</v>
      </c>
    </row>
    <row r="107" spans="1:4">
      <c r="A107" s="328">
        <f t="shared" si="5"/>
        <v>0.48557692307692313</v>
      </c>
      <c r="B107" s="330">
        <f t="shared" ca="1" si="6"/>
        <v>-0.41274533632453586</v>
      </c>
      <c r="C107" s="327">
        <f t="shared" ca="1" si="9"/>
        <v>0.15708767816136357</v>
      </c>
      <c r="D107" s="327">
        <f t="shared" ca="1" si="8"/>
        <v>0.64266460123828673</v>
      </c>
    </row>
    <row r="108" spans="1:4">
      <c r="A108" s="328">
        <f t="shared" si="5"/>
        <v>0.49038461538461542</v>
      </c>
      <c r="B108" s="330">
        <f t="shared" ca="1" si="6"/>
        <v>0.29484297762461648</v>
      </c>
      <c r="C108" s="327">
        <f t="shared" ca="1" si="9"/>
        <v>0.17753136035436426</v>
      </c>
      <c r="D108" s="327">
        <f t="shared" ca="1" si="8"/>
        <v>0.66791597573897965</v>
      </c>
    </row>
    <row r="109" spans="1:4">
      <c r="A109" s="328">
        <f t="shared" si="5"/>
        <v>0.49519230769230771</v>
      </c>
      <c r="B109" s="330">
        <f t="shared" ca="1" si="6"/>
        <v>0.41145061062894683</v>
      </c>
      <c r="C109" s="327">
        <f t="shared" ca="1" si="9"/>
        <v>0.20606032716097267</v>
      </c>
      <c r="D109" s="327">
        <f t="shared" ca="1" si="8"/>
        <v>0.70125263485328038</v>
      </c>
    </row>
    <row r="110" spans="1:4">
      <c r="A110" s="328">
        <f t="shared" si="5"/>
        <v>0.5</v>
      </c>
      <c r="B110" s="330">
        <f t="shared" ca="1" si="6"/>
        <v>0.37302577497605766</v>
      </c>
      <c r="C110" s="327">
        <f t="shared" ca="1" si="9"/>
        <v>0.23192501098300858</v>
      </c>
      <c r="D110" s="327">
        <f t="shared" ca="1" si="8"/>
        <v>0.73192501098300855</v>
      </c>
    </row>
    <row r="111" spans="1:4">
      <c r="A111" s="328">
        <f t="shared" si="5"/>
        <v>0.50480769230769229</v>
      </c>
      <c r="B111" s="330">
        <f t="shared" ca="1" si="6"/>
        <v>0.43385740774818093</v>
      </c>
      <c r="C111" s="327">
        <f t="shared" ca="1" si="9"/>
        <v>0.26200760963446923</v>
      </c>
      <c r="D111" s="327">
        <f t="shared" ca="1" si="8"/>
        <v>0.76681530194216152</v>
      </c>
    </row>
    <row r="112" spans="1:4">
      <c r="A112" s="328">
        <f t="shared" si="5"/>
        <v>0.50961538461538469</v>
      </c>
      <c r="B112" s="330">
        <f t="shared" ca="1" si="6"/>
        <v>0.1002218451908183</v>
      </c>
      <c r="C112" s="327">
        <f t="shared" ref="C112:C175" ca="1" si="10">C111+NORMINV(RAND(),0,1)*SQRT($C$3)</f>
        <v>0.23842459618544784</v>
      </c>
      <c r="D112" s="327">
        <f t="shared" ca="1" si="8"/>
        <v>0.74803998080083256</v>
      </c>
    </row>
    <row r="113" spans="1:4">
      <c r="A113" s="328">
        <f t="shared" si="5"/>
        <v>0.51442307692307698</v>
      </c>
      <c r="B113" s="330">
        <f t="shared" ca="1" si="6"/>
        <v>-5.7876440237684491E-2</v>
      </c>
      <c r="C113" s="327">
        <f t="shared" ca="1" si="10"/>
        <v>0.34503558586392158</v>
      </c>
      <c r="D113" s="327">
        <f t="shared" ca="1" si="8"/>
        <v>0.85945866278699856</v>
      </c>
    </row>
    <row r="114" spans="1:4">
      <c r="A114" s="328">
        <f t="shared" si="5"/>
        <v>0.51923076923076927</v>
      </c>
      <c r="B114" s="330">
        <f t="shared" ca="1" si="6"/>
        <v>-1.5316090165017326</v>
      </c>
      <c r="C114" s="327">
        <f t="shared" ca="1" si="10"/>
        <v>0.41985728450928222</v>
      </c>
      <c r="D114" s="327">
        <f t="shared" ca="1" si="8"/>
        <v>0.93908805374005144</v>
      </c>
    </row>
    <row r="115" spans="1:4">
      <c r="A115" s="328">
        <f t="shared" si="5"/>
        <v>0.52403846153846156</v>
      </c>
      <c r="B115" s="330">
        <f t="shared" ca="1" si="6"/>
        <v>-0.69030804609070284</v>
      </c>
      <c r="C115" s="327">
        <f t="shared" ca="1" si="10"/>
        <v>0.47222401958608295</v>
      </c>
      <c r="D115" s="327">
        <f t="shared" ca="1" si="8"/>
        <v>0.99626248112454452</v>
      </c>
    </row>
    <row r="116" spans="1:4">
      <c r="A116" s="328">
        <f t="shared" si="5"/>
        <v>0.52884615384615385</v>
      </c>
      <c r="B116" s="330">
        <f t="shared" ca="1" si="6"/>
        <v>-1.7445699969806647</v>
      </c>
      <c r="C116" s="327">
        <f t="shared" ca="1" si="10"/>
        <v>0.51812843026174649</v>
      </c>
      <c r="D116" s="327">
        <f t="shared" ca="1" si="8"/>
        <v>1.0469745841079003</v>
      </c>
    </row>
    <row r="117" spans="1:4">
      <c r="A117" s="328">
        <f t="shared" si="5"/>
        <v>0.53365384615384615</v>
      </c>
      <c r="B117" s="330">
        <f t="shared" ca="1" si="6"/>
        <v>0.62806621484214986</v>
      </c>
      <c r="C117" s="327">
        <f t="shared" ca="1" si="10"/>
        <v>0.49420318192456758</v>
      </c>
      <c r="D117" s="327">
        <f t="shared" ca="1" si="8"/>
        <v>1.0278570280784138</v>
      </c>
    </row>
    <row r="118" spans="1:4">
      <c r="A118" s="328">
        <f t="shared" si="5"/>
        <v>0.53846153846153855</v>
      </c>
      <c r="B118" s="330">
        <f t="shared" ca="1" si="6"/>
        <v>1.9479296521062011</v>
      </c>
      <c r="C118" s="327">
        <f t="shared" ca="1" si="10"/>
        <v>0.48332397517108866</v>
      </c>
      <c r="D118" s="327">
        <f t="shared" ca="1" si="8"/>
        <v>1.0217855136326273</v>
      </c>
    </row>
    <row r="119" spans="1:4">
      <c r="A119" s="328">
        <f t="shared" si="5"/>
        <v>0.54326923076923084</v>
      </c>
      <c r="B119" s="330">
        <f t="shared" ca="1" si="6"/>
        <v>0.10108304209561847</v>
      </c>
      <c r="C119" s="327">
        <f t="shared" ca="1" si="10"/>
        <v>0.40860992536086688</v>
      </c>
      <c r="D119" s="327">
        <f t="shared" ca="1" si="8"/>
        <v>0.95187915613009766</v>
      </c>
    </row>
    <row r="120" spans="1:4">
      <c r="A120" s="328">
        <f t="shared" si="5"/>
        <v>0.54807692307692313</v>
      </c>
      <c r="B120" s="330">
        <f t="shared" ca="1" si="6"/>
        <v>1.2172324939129819</v>
      </c>
      <c r="C120" s="327">
        <f t="shared" ca="1" si="10"/>
        <v>0.40512601675386029</v>
      </c>
      <c r="D120" s="327">
        <f t="shared" ca="1" si="8"/>
        <v>0.95320293983078341</v>
      </c>
    </row>
    <row r="121" spans="1:4">
      <c r="A121" s="328">
        <f t="shared" si="5"/>
        <v>0.55288461538461542</v>
      </c>
      <c r="B121" s="330">
        <f t="shared" ca="1" si="6"/>
        <v>-2.2514106641800375</v>
      </c>
      <c r="C121" s="327">
        <f t="shared" ca="1" si="10"/>
        <v>0.32470059222210007</v>
      </c>
      <c r="D121" s="327">
        <f t="shared" ca="1" si="8"/>
        <v>0.87758520760671543</v>
      </c>
    </row>
    <row r="122" spans="1:4">
      <c r="A122" s="328">
        <f t="shared" si="5"/>
        <v>0.55769230769230771</v>
      </c>
      <c r="B122" s="330">
        <f t="shared" ca="1" si="6"/>
        <v>0.10430788650338729</v>
      </c>
      <c r="C122" s="327">
        <f t="shared" ca="1" si="10"/>
        <v>0.42678527736764005</v>
      </c>
      <c r="D122" s="327">
        <f t="shared" ca="1" si="8"/>
        <v>0.98447758505994776</v>
      </c>
    </row>
    <row r="123" spans="1:4">
      <c r="A123" s="328">
        <f t="shared" si="5"/>
        <v>0.5625</v>
      </c>
      <c r="B123" s="330">
        <f t="shared" ca="1" si="6"/>
        <v>0.4167640278160113</v>
      </c>
      <c r="C123" s="327">
        <f t="shared" ca="1" si="10"/>
        <v>0.49130116474072316</v>
      </c>
      <c r="D123" s="327">
        <f t="shared" ca="1" si="8"/>
        <v>1.0538011647407233</v>
      </c>
    </row>
    <row r="124" spans="1:4">
      <c r="A124" s="328">
        <f t="shared" si="5"/>
        <v>0.56730769230769229</v>
      </c>
      <c r="B124" s="330">
        <f t="shared" ca="1" si="6"/>
        <v>-1.3188620084272815</v>
      </c>
      <c r="C124" s="327">
        <f t="shared" ca="1" si="10"/>
        <v>0.48729053893692625</v>
      </c>
      <c r="D124" s="327">
        <f t="shared" ca="1" si="8"/>
        <v>1.0545982312446185</v>
      </c>
    </row>
    <row r="125" spans="1:4">
      <c r="A125" s="328">
        <f t="shared" si="5"/>
        <v>0.57211538461538469</v>
      </c>
      <c r="B125" s="330">
        <f t="shared" ca="1" si="6"/>
        <v>-1.1255014439054445</v>
      </c>
      <c r="C125" s="327">
        <f t="shared" ca="1" si="10"/>
        <v>0.50718394521784138</v>
      </c>
      <c r="D125" s="327">
        <f t="shared" ca="1" si="8"/>
        <v>1.0792993298332261</v>
      </c>
    </row>
    <row r="126" spans="1:4">
      <c r="A126" s="328">
        <f t="shared" si="5"/>
        <v>0.57692307692307698</v>
      </c>
      <c r="B126" s="330">
        <f t="shared" ca="1" si="6"/>
        <v>-0.33695815641688454</v>
      </c>
      <c r="C126" s="327">
        <f t="shared" ca="1" si="10"/>
        <v>0.52898476217052603</v>
      </c>
      <c r="D126" s="327">
        <f t="shared" ca="1" si="8"/>
        <v>1.105907839093603</v>
      </c>
    </row>
    <row r="127" spans="1:4">
      <c r="A127" s="328">
        <f t="shared" si="5"/>
        <v>0.58173076923076927</v>
      </c>
      <c r="B127" s="330">
        <f t="shared" ca="1" si="6"/>
        <v>0.3604378795240239</v>
      </c>
      <c r="C127" s="327">
        <f t="shared" ca="1" si="10"/>
        <v>0.52550738201318525</v>
      </c>
      <c r="D127" s="327">
        <f t="shared" ca="1" si="8"/>
        <v>1.1072381512439544</v>
      </c>
    </row>
    <row r="128" spans="1:4">
      <c r="A128" s="328">
        <f t="shared" si="5"/>
        <v>0.58653846153846156</v>
      </c>
      <c r="B128" s="330">
        <f t="shared" ca="1" si="6"/>
        <v>-0.91601964166525052</v>
      </c>
      <c r="C128" s="327">
        <f t="shared" ca="1" si="10"/>
        <v>0.48540587974612187</v>
      </c>
      <c r="D128" s="327">
        <f t="shared" ca="1" si="8"/>
        <v>1.0719443412845835</v>
      </c>
    </row>
    <row r="129" spans="1:4">
      <c r="A129" s="328">
        <f t="shared" si="5"/>
        <v>0.59134615384615385</v>
      </c>
      <c r="B129" s="330">
        <f t="shared" ca="1" si="6"/>
        <v>1.2384480447902395</v>
      </c>
      <c r="C129" s="327">
        <f t="shared" ca="1" si="10"/>
        <v>0.5526119879694219</v>
      </c>
      <c r="D129" s="327">
        <f t="shared" ca="1" si="8"/>
        <v>1.1439581418155758</v>
      </c>
    </row>
    <row r="130" spans="1:4">
      <c r="A130" s="328">
        <f t="shared" si="5"/>
        <v>0.59615384615384615</v>
      </c>
      <c r="B130" s="330">
        <f t="shared" ca="1" si="6"/>
        <v>-0.32748300512237549</v>
      </c>
      <c r="C130" s="327">
        <f t="shared" ca="1" si="10"/>
        <v>0.53678156267215471</v>
      </c>
      <c r="D130" s="327">
        <f t="shared" ca="1" si="8"/>
        <v>1.1329354088260009</v>
      </c>
    </row>
    <row r="131" spans="1:4">
      <c r="A131" s="328">
        <f t="shared" si="5"/>
        <v>0.60096153846153855</v>
      </c>
      <c r="B131" s="330">
        <f t="shared" ca="1" si="6"/>
        <v>-0.41686795615128924</v>
      </c>
      <c r="C131" s="327">
        <f t="shared" ca="1" si="10"/>
        <v>0.59617565055464827</v>
      </c>
      <c r="D131" s="327">
        <f t="shared" ca="1" si="8"/>
        <v>1.1971371890161868</v>
      </c>
    </row>
    <row r="132" spans="1:4">
      <c r="A132" s="328">
        <f t="shared" si="5"/>
        <v>0.60576923076923084</v>
      </c>
      <c r="B132" s="330">
        <f t="shared" ca="1" si="6"/>
        <v>-0.63294827854058566</v>
      </c>
      <c r="C132" s="327">
        <f t="shared" ca="1" si="10"/>
        <v>0.60648477672556034</v>
      </c>
      <c r="D132" s="327">
        <f t="shared" ca="1" si="8"/>
        <v>1.2122540074947912</v>
      </c>
    </row>
    <row r="133" spans="1:4">
      <c r="A133" s="328">
        <f t="shared" si="5"/>
        <v>0.61057692307692313</v>
      </c>
      <c r="B133" s="330">
        <f t="shared" ca="1" si="6"/>
        <v>0.40645717540749671</v>
      </c>
      <c r="C133" s="327">
        <f t="shared" ca="1" si="10"/>
        <v>0.59285813819113409</v>
      </c>
      <c r="D133" s="327">
        <f t="shared" ca="1" si="8"/>
        <v>1.2034350612680571</v>
      </c>
    </row>
    <row r="134" spans="1:4">
      <c r="A134" s="328">
        <f t="shared" si="5"/>
        <v>0.61538461538461542</v>
      </c>
      <c r="B134" s="330">
        <f t="shared" ca="1" si="6"/>
        <v>-4.600546484037861E-2</v>
      </c>
      <c r="C134" s="327">
        <f t="shared" ca="1" si="10"/>
        <v>0.6659926723804841</v>
      </c>
      <c r="D134" s="327">
        <f t="shared" ca="1" si="8"/>
        <v>1.2813772877650995</v>
      </c>
    </row>
    <row r="135" spans="1:4">
      <c r="A135" s="328">
        <f t="shared" si="5"/>
        <v>0.62019230769230771</v>
      </c>
      <c r="B135" s="330">
        <f t="shared" ca="1" si="6"/>
        <v>0.49351052136050677</v>
      </c>
      <c r="C135" s="327">
        <f t="shared" ca="1" si="10"/>
        <v>0.67806865172763719</v>
      </c>
      <c r="D135" s="327">
        <f t="shared" ca="1" si="8"/>
        <v>1.2982609594199448</v>
      </c>
    </row>
    <row r="136" spans="1:4">
      <c r="A136" s="328">
        <f t="shared" ref="A136:A199" si="11">IF(ROW()-6&gt;2*$C$2,"",$C$3*(ROW()-6))</f>
        <v>0.625</v>
      </c>
      <c r="B136" s="330">
        <f t="shared" ref="B136:B199" ca="1" si="12">NORMINV(RAND(),0,1)</f>
        <v>-0.43947853143033189</v>
      </c>
      <c r="C136" s="327">
        <f t="shared" ca="1" si="10"/>
        <v>0.66206486510403562</v>
      </c>
      <c r="D136" s="327">
        <f t="shared" ref="D136:D199" ca="1" si="13">$D$4*A136+C136</f>
        <v>1.2870648651040355</v>
      </c>
    </row>
    <row r="137" spans="1:4">
      <c r="A137" s="328">
        <f t="shared" si="11"/>
        <v>0.62980769230769229</v>
      </c>
      <c r="B137" s="330">
        <f t="shared" ca="1" si="12"/>
        <v>0.51087817675723668</v>
      </c>
      <c r="C137" s="327">
        <f t="shared" ca="1" si="10"/>
        <v>0.726902070157458</v>
      </c>
      <c r="D137" s="327">
        <f t="shared" ca="1" si="13"/>
        <v>1.3567097624651503</v>
      </c>
    </row>
    <row r="138" spans="1:4">
      <c r="A138" s="328">
        <f t="shared" si="11"/>
        <v>0.63461538461538469</v>
      </c>
      <c r="B138" s="330">
        <f t="shared" ca="1" si="12"/>
        <v>0.74669051096469896</v>
      </c>
      <c r="C138" s="327">
        <f t="shared" ca="1" si="10"/>
        <v>0.61251561105951335</v>
      </c>
      <c r="D138" s="327">
        <f t="shared" ca="1" si="13"/>
        <v>1.2471309956748979</v>
      </c>
    </row>
    <row r="139" spans="1:4">
      <c r="A139" s="328">
        <f t="shared" si="11"/>
        <v>0.63942307692307698</v>
      </c>
      <c r="B139" s="330">
        <f t="shared" ca="1" si="12"/>
        <v>-0.19786999280363479</v>
      </c>
      <c r="C139" s="327">
        <f t="shared" ca="1" si="10"/>
        <v>0.72875526815121727</v>
      </c>
      <c r="D139" s="327">
        <f t="shared" ca="1" si="13"/>
        <v>1.3681783450742944</v>
      </c>
    </row>
    <row r="140" spans="1:4">
      <c r="A140" s="328">
        <f t="shared" si="11"/>
        <v>0.64423076923076927</v>
      </c>
      <c r="B140" s="330">
        <f t="shared" ca="1" si="12"/>
        <v>1.4250085704942164</v>
      </c>
      <c r="C140" s="327">
        <f t="shared" ca="1" si="10"/>
        <v>0.79153028975778306</v>
      </c>
      <c r="D140" s="327">
        <f t="shared" ca="1" si="13"/>
        <v>1.4357610589885523</v>
      </c>
    </row>
    <row r="141" spans="1:4">
      <c r="A141" s="328">
        <f t="shared" si="11"/>
        <v>0.64903846153846156</v>
      </c>
      <c r="B141" s="330">
        <f t="shared" ca="1" si="12"/>
        <v>-0.12522483551683958</v>
      </c>
      <c r="C141" s="327">
        <f t="shared" ca="1" si="10"/>
        <v>0.70145224534714379</v>
      </c>
      <c r="D141" s="327">
        <f t="shared" ca="1" si="13"/>
        <v>1.3504907068856054</v>
      </c>
    </row>
    <row r="142" spans="1:4">
      <c r="A142" s="328">
        <f t="shared" si="11"/>
        <v>0.65384615384615385</v>
      </c>
      <c r="B142" s="330">
        <f t="shared" ca="1" si="12"/>
        <v>-0.18558419589090119</v>
      </c>
      <c r="C142" s="327">
        <f t="shared" ca="1" si="10"/>
        <v>0.65259506412241286</v>
      </c>
      <c r="D142" s="327">
        <f t="shared" ca="1" si="13"/>
        <v>1.3064412179685667</v>
      </c>
    </row>
    <row r="143" spans="1:4">
      <c r="A143" s="328">
        <f t="shared" si="11"/>
        <v>0.65865384615384615</v>
      </c>
      <c r="B143" s="330">
        <f t="shared" ca="1" si="12"/>
        <v>-1.5251409597689347</v>
      </c>
      <c r="C143" s="327">
        <f t="shared" ca="1" si="10"/>
        <v>0.62897943106279641</v>
      </c>
      <c r="D143" s="327">
        <f t="shared" ca="1" si="13"/>
        <v>1.2876332772166426</v>
      </c>
    </row>
    <row r="144" spans="1:4">
      <c r="A144" s="328">
        <f t="shared" si="11"/>
        <v>0.66346153846153855</v>
      </c>
      <c r="B144" s="330">
        <f t="shared" ca="1" si="12"/>
        <v>-0.56423493576278327</v>
      </c>
      <c r="C144" s="327">
        <f t="shared" ca="1" si="10"/>
        <v>0.55543368965691076</v>
      </c>
      <c r="D144" s="327">
        <f t="shared" ca="1" si="13"/>
        <v>1.2188952281184493</v>
      </c>
    </row>
    <row r="145" spans="1:4">
      <c r="A145" s="328">
        <f t="shared" si="11"/>
        <v>0.66826923076923084</v>
      </c>
      <c r="B145" s="330">
        <f t="shared" ca="1" si="12"/>
        <v>-1.0368364573216242</v>
      </c>
      <c r="C145" s="327">
        <f t="shared" ca="1" si="10"/>
        <v>0.5697812933889953</v>
      </c>
      <c r="D145" s="327">
        <f t="shared" ca="1" si="13"/>
        <v>1.238050524158226</v>
      </c>
    </row>
    <row r="146" spans="1:4">
      <c r="A146" s="328">
        <f t="shared" si="11"/>
        <v>0.67307692307692313</v>
      </c>
      <c r="B146" s="330">
        <f t="shared" ca="1" si="12"/>
        <v>-1.6497717462693018</v>
      </c>
      <c r="C146" s="327">
        <f t="shared" ca="1" si="10"/>
        <v>0.58605452809750769</v>
      </c>
      <c r="D146" s="327">
        <f t="shared" ca="1" si="13"/>
        <v>1.2591314511744307</v>
      </c>
    </row>
    <row r="147" spans="1:4">
      <c r="A147" s="328">
        <f t="shared" si="11"/>
        <v>0.67788461538461542</v>
      </c>
      <c r="B147" s="330">
        <f t="shared" ca="1" si="12"/>
        <v>-0.71961401183514551</v>
      </c>
      <c r="C147" s="327">
        <f t="shared" ca="1" si="10"/>
        <v>0.48720604930343714</v>
      </c>
      <c r="D147" s="327">
        <f t="shared" ca="1" si="13"/>
        <v>1.1650906646880526</v>
      </c>
    </row>
    <row r="148" spans="1:4">
      <c r="A148" s="328">
        <f t="shared" si="11"/>
        <v>0.68269230769230771</v>
      </c>
      <c r="B148" s="330">
        <f t="shared" ca="1" si="12"/>
        <v>-0.3205466119180066</v>
      </c>
      <c r="C148" s="327">
        <f t="shared" ca="1" si="10"/>
        <v>0.49724727012137032</v>
      </c>
      <c r="D148" s="327">
        <f t="shared" ca="1" si="13"/>
        <v>1.1799395778136781</v>
      </c>
    </row>
    <row r="149" spans="1:4">
      <c r="A149" s="328">
        <f t="shared" si="11"/>
        <v>0.6875</v>
      </c>
      <c r="B149" s="330">
        <f t="shared" ca="1" si="12"/>
        <v>0.714623897235386</v>
      </c>
      <c r="C149" s="327">
        <f t="shared" ca="1" si="10"/>
        <v>0.53479359211484934</v>
      </c>
      <c r="D149" s="327">
        <f t="shared" ca="1" si="13"/>
        <v>1.2222935921148492</v>
      </c>
    </row>
    <row r="150" spans="1:4">
      <c r="A150" s="328">
        <f t="shared" si="11"/>
        <v>0.69230769230769229</v>
      </c>
      <c r="B150" s="330">
        <f t="shared" ca="1" si="12"/>
        <v>-0.22535874503818509</v>
      </c>
      <c r="C150" s="327">
        <f t="shared" ca="1" si="10"/>
        <v>0.41613880633254852</v>
      </c>
      <c r="D150" s="327">
        <f t="shared" ca="1" si="13"/>
        <v>1.1084464986402409</v>
      </c>
    </row>
    <row r="151" spans="1:4">
      <c r="A151" s="328">
        <f t="shared" si="11"/>
        <v>0.69711538461538469</v>
      </c>
      <c r="B151" s="330">
        <f t="shared" ca="1" si="12"/>
        <v>-7.7475073255062976E-2</v>
      </c>
      <c r="C151" s="327">
        <f t="shared" ca="1" si="10"/>
        <v>0.50918352867551497</v>
      </c>
      <c r="D151" s="327">
        <f t="shared" ca="1" si="13"/>
        <v>1.2062989132908997</v>
      </c>
    </row>
    <row r="152" spans="1:4">
      <c r="A152" s="328">
        <f t="shared" si="11"/>
        <v>0.70192307692307698</v>
      </c>
      <c r="B152" s="330">
        <f t="shared" ca="1" si="12"/>
        <v>-2.5034154790074798</v>
      </c>
      <c r="C152" s="327">
        <f t="shared" ca="1" si="10"/>
        <v>0.54493254567359806</v>
      </c>
      <c r="D152" s="327">
        <f t="shared" ca="1" si="13"/>
        <v>1.2468556225966752</v>
      </c>
    </row>
    <row r="153" spans="1:4">
      <c r="A153" s="328">
        <f t="shared" si="11"/>
        <v>0.70673076923076927</v>
      </c>
      <c r="B153" s="330">
        <f t="shared" ca="1" si="12"/>
        <v>0.18474113555352828</v>
      </c>
      <c r="C153" s="327">
        <f t="shared" ca="1" si="10"/>
        <v>0.53005191243121819</v>
      </c>
      <c r="D153" s="327">
        <f t="shared" ca="1" si="13"/>
        <v>1.2367826816619876</v>
      </c>
    </row>
    <row r="154" spans="1:4">
      <c r="A154" s="328">
        <f t="shared" si="11"/>
        <v>0.71153846153846156</v>
      </c>
      <c r="B154" s="330">
        <f t="shared" ca="1" si="12"/>
        <v>1.1417545475934894</v>
      </c>
      <c r="C154" s="327">
        <f t="shared" ca="1" si="10"/>
        <v>0.53683519115001066</v>
      </c>
      <c r="D154" s="327">
        <f t="shared" ca="1" si="13"/>
        <v>1.2483736526884721</v>
      </c>
    </row>
    <row r="155" spans="1:4">
      <c r="A155" s="328">
        <f t="shared" si="11"/>
        <v>0.71634615384615385</v>
      </c>
      <c r="B155" s="330">
        <f t="shared" ca="1" si="12"/>
        <v>0.70483630279164056</v>
      </c>
      <c r="C155" s="327">
        <f t="shared" ca="1" si="10"/>
        <v>0.53279780286380196</v>
      </c>
      <c r="D155" s="327">
        <f t="shared" ca="1" si="13"/>
        <v>1.2491439567099558</v>
      </c>
    </row>
    <row r="156" spans="1:4">
      <c r="A156" s="328">
        <f t="shared" si="11"/>
        <v>0.72115384615384615</v>
      </c>
      <c r="B156" s="330">
        <f t="shared" ca="1" si="12"/>
        <v>1.2131084098987737</v>
      </c>
      <c r="C156" s="327">
        <f t="shared" ca="1" si="10"/>
        <v>0.56382477876274517</v>
      </c>
      <c r="D156" s="327">
        <f t="shared" ca="1" si="13"/>
        <v>1.2849786249165913</v>
      </c>
    </row>
    <row r="157" spans="1:4">
      <c r="A157" s="328">
        <f t="shared" si="11"/>
        <v>0.72596153846153855</v>
      </c>
      <c r="B157" s="330">
        <f t="shared" ca="1" si="12"/>
        <v>-0.47892106671572254</v>
      </c>
      <c r="C157" s="327">
        <f t="shared" ca="1" si="10"/>
        <v>0.39269296243800877</v>
      </c>
      <c r="D157" s="327">
        <f t="shared" ca="1" si="13"/>
        <v>1.1186545008995474</v>
      </c>
    </row>
    <row r="158" spans="1:4">
      <c r="A158" s="328">
        <f t="shared" si="11"/>
        <v>0.73076923076923084</v>
      </c>
      <c r="B158" s="330">
        <f t="shared" ca="1" si="12"/>
        <v>2.577078342271406E-2</v>
      </c>
      <c r="C158" s="327">
        <f t="shared" ca="1" si="10"/>
        <v>0.45370275443533137</v>
      </c>
      <c r="D158" s="327">
        <f t="shared" ca="1" si="13"/>
        <v>1.1844719852045622</v>
      </c>
    </row>
    <row r="159" spans="1:4">
      <c r="A159" s="328">
        <f t="shared" si="11"/>
        <v>0.73557692307692313</v>
      </c>
      <c r="B159" s="330">
        <f t="shared" ca="1" si="12"/>
        <v>2.2891348383185703</v>
      </c>
      <c r="C159" s="327">
        <f t="shared" ca="1" si="10"/>
        <v>0.38525979893840734</v>
      </c>
      <c r="D159" s="327">
        <f t="shared" ca="1" si="13"/>
        <v>1.1208367220153304</v>
      </c>
    </row>
    <row r="160" spans="1:4">
      <c r="A160" s="328">
        <f t="shared" si="11"/>
        <v>0.74038461538461542</v>
      </c>
      <c r="B160" s="330">
        <f t="shared" ca="1" si="12"/>
        <v>1.459087049306537E-2</v>
      </c>
      <c r="C160" s="327">
        <f t="shared" ca="1" si="10"/>
        <v>0.38964022694519251</v>
      </c>
      <c r="D160" s="327">
        <f t="shared" ca="1" si="13"/>
        <v>1.1300248423298078</v>
      </c>
    </row>
    <row r="161" spans="1:4">
      <c r="A161" s="328">
        <f t="shared" si="11"/>
        <v>0.74519230769230771</v>
      </c>
      <c r="B161" s="330">
        <f t="shared" ca="1" si="12"/>
        <v>-1.1672398129478716</v>
      </c>
      <c r="C161" s="327">
        <f t="shared" ca="1" si="10"/>
        <v>0.282240236885202</v>
      </c>
      <c r="D161" s="327">
        <f t="shared" ca="1" si="13"/>
        <v>1.0274325445775097</v>
      </c>
    </row>
    <row r="162" spans="1:4">
      <c r="A162" s="328">
        <f t="shared" si="11"/>
        <v>0.75</v>
      </c>
      <c r="B162" s="330">
        <f t="shared" ca="1" si="12"/>
        <v>2.1126974464492623</v>
      </c>
      <c r="C162" s="327">
        <f t="shared" ca="1" si="10"/>
        <v>0.27024768770890745</v>
      </c>
      <c r="D162" s="327">
        <f t="shared" ca="1" si="13"/>
        <v>1.0202476877089075</v>
      </c>
    </row>
    <row r="163" spans="1:4">
      <c r="A163" s="328">
        <f t="shared" si="11"/>
        <v>0.7548076923076924</v>
      </c>
      <c r="B163" s="330">
        <f t="shared" ca="1" si="12"/>
        <v>-0.30351189190863276</v>
      </c>
      <c r="C163" s="327">
        <f t="shared" ca="1" si="10"/>
        <v>0.22002144285123898</v>
      </c>
      <c r="D163" s="327">
        <f t="shared" ca="1" si="13"/>
        <v>0.97482913515893133</v>
      </c>
    </row>
    <row r="164" spans="1:4">
      <c r="A164" s="328">
        <f t="shared" si="11"/>
        <v>0.75961538461538469</v>
      </c>
      <c r="B164" s="330">
        <f t="shared" ca="1" si="12"/>
        <v>0.44930927374789992</v>
      </c>
      <c r="C164" s="327">
        <f t="shared" ca="1" si="10"/>
        <v>0.16973924048934608</v>
      </c>
      <c r="D164" s="327">
        <f t="shared" ca="1" si="13"/>
        <v>0.92935462510473077</v>
      </c>
    </row>
    <row r="165" spans="1:4">
      <c r="A165" s="328">
        <f t="shared" si="11"/>
        <v>0.76442307692307698</v>
      </c>
      <c r="B165" s="330">
        <f t="shared" ca="1" si="12"/>
        <v>-0.38512156828784183</v>
      </c>
      <c r="C165" s="327">
        <f t="shared" ca="1" si="10"/>
        <v>0.22123166741442718</v>
      </c>
      <c r="D165" s="327">
        <f t="shared" ca="1" si="13"/>
        <v>0.98565474433750411</v>
      </c>
    </row>
    <row r="166" spans="1:4">
      <c r="A166" s="328">
        <f t="shared" si="11"/>
        <v>0.76923076923076927</v>
      </c>
      <c r="B166" s="330">
        <f t="shared" ca="1" si="12"/>
        <v>-0.55245396213201847</v>
      </c>
      <c r="C166" s="327">
        <f t="shared" ca="1" si="10"/>
        <v>0.16284253416212652</v>
      </c>
      <c r="D166" s="327">
        <f t="shared" ca="1" si="13"/>
        <v>0.93207330339289585</v>
      </c>
    </row>
    <row r="167" spans="1:4">
      <c r="A167" s="328">
        <f t="shared" si="11"/>
        <v>0.77403846153846156</v>
      </c>
      <c r="B167" s="330">
        <f t="shared" ca="1" si="12"/>
        <v>1.5992136767134888</v>
      </c>
      <c r="C167" s="327">
        <f t="shared" ca="1" si="10"/>
        <v>0.1663457412361995</v>
      </c>
      <c r="D167" s="327">
        <f t="shared" ca="1" si="13"/>
        <v>0.94038420277466106</v>
      </c>
    </row>
    <row r="168" spans="1:4">
      <c r="A168" s="328">
        <f t="shared" si="11"/>
        <v>0.77884615384615385</v>
      </c>
      <c r="B168" s="330">
        <f t="shared" ca="1" si="12"/>
        <v>-0.99467335185151229</v>
      </c>
      <c r="C168" s="327">
        <f t="shared" ca="1" si="10"/>
        <v>0.12745477879004979</v>
      </c>
      <c r="D168" s="327">
        <f t="shared" ca="1" si="13"/>
        <v>0.9063009326362037</v>
      </c>
    </row>
    <row r="169" spans="1:4">
      <c r="A169" s="328">
        <f t="shared" si="11"/>
        <v>0.78365384615384615</v>
      </c>
      <c r="B169" s="330">
        <f t="shared" ca="1" si="12"/>
        <v>-1.5332044471333228</v>
      </c>
      <c r="C169" s="327">
        <f t="shared" ca="1" si="10"/>
        <v>0.20218459586682297</v>
      </c>
      <c r="D169" s="327">
        <f t="shared" ca="1" si="13"/>
        <v>0.98583844202066917</v>
      </c>
    </row>
    <row r="170" spans="1:4">
      <c r="A170" s="328">
        <f t="shared" si="11"/>
        <v>0.78846153846153855</v>
      </c>
      <c r="B170" s="330">
        <f t="shared" ca="1" si="12"/>
        <v>-2.2966778330895248</v>
      </c>
      <c r="C170" s="327">
        <f t="shared" ca="1" si="10"/>
        <v>0.2290193592155132</v>
      </c>
      <c r="D170" s="327">
        <f t="shared" ca="1" si="13"/>
        <v>1.0174808976770517</v>
      </c>
    </row>
    <row r="171" spans="1:4">
      <c r="A171" s="328">
        <f t="shared" si="11"/>
        <v>0.79326923076923084</v>
      </c>
      <c r="B171" s="330">
        <f t="shared" ca="1" si="12"/>
        <v>-1.6287832842823515</v>
      </c>
      <c r="C171" s="327">
        <f t="shared" ca="1" si="10"/>
        <v>0.29794830113110515</v>
      </c>
      <c r="D171" s="327">
        <f t="shared" ca="1" si="13"/>
        <v>1.0912175319003361</v>
      </c>
    </row>
    <row r="172" spans="1:4">
      <c r="A172" s="328">
        <f t="shared" si="11"/>
        <v>0.79807692307692313</v>
      </c>
      <c r="B172" s="330">
        <f t="shared" ca="1" si="12"/>
        <v>-0.21233742262234204</v>
      </c>
      <c r="C172" s="327">
        <f t="shared" ca="1" si="10"/>
        <v>0.34213273247972004</v>
      </c>
      <c r="D172" s="327">
        <f t="shared" ca="1" si="13"/>
        <v>1.1402096555566432</v>
      </c>
    </row>
    <row r="173" spans="1:4">
      <c r="A173" s="328">
        <f t="shared" si="11"/>
        <v>0.80288461538461542</v>
      </c>
      <c r="B173" s="330">
        <f t="shared" ca="1" si="12"/>
        <v>-0.35029560788490338</v>
      </c>
      <c r="C173" s="327">
        <f t="shared" ca="1" si="10"/>
        <v>0.36490888534627486</v>
      </c>
      <c r="D173" s="327">
        <f t="shared" ca="1" si="13"/>
        <v>1.1677935007308902</v>
      </c>
    </row>
    <row r="174" spans="1:4">
      <c r="A174" s="328">
        <f t="shared" si="11"/>
        <v>0.80769230769230771</v>
      </c>
      <c r="B174" s="330">
        <f t="shared" ca="1" si="12"/>
        <v>1.8386050135865877</v>
      </c>
      <c r="C174" s="327">
        <f t="shared" ca="1" si="10"/>
        <v>0.37760305621432061</v>
      </c>
      <c r="D174" s="327">
        <f t="shared" ca="1" si="13"/>
        <v>1.1852953639066284</v>
      </c>
    </row>
    <row r="175" spans="1:4">
      <c r="A175" s="328">
        <f t="shared" si="11"/>
        <v>0.8125</v>
      </c>
      <c r="B175" s="330">
        <f t="shared" ca="1" si="12"/>
        <v>0.7247392288743707</v>
      </c>
      <c r="C175" s="327">
        <f t="shared" ca="1" si="10"/>
        <v>0.29103676933505707</v>
      </c>
      <c r="D175" s="327">
        <f t="shared" ca="1" si="13"/>
        <v>1.1035367693350571</v>
      </c>
    </row>
    <row r="176" spans="1:4">
      <c r="A176" s="328">
        <f t="shared" si="11"/>
        <v>0.8173076923076924</v>
      </c>
      <c r="B176" s="330">
        <f t="shared" ca="1" si="12"/>
        <v>0.45702598935737138</v>
      </c>
      <c r="C176" s="327">
        <f t="shared" ref="C176:C239" ca="1" si="14">C175+NORMINV(RAND(),0,1)*SQRT($C$3)</f>
        <v>0.25300185033106104</v>
      </c>
      <c r="D176" s="327">
        <f t="shared" ca="1" si="13"/>
        <v>1.0703095426387534</v>
      </c>
    </row>
    <row r="177" spans="1:4">
      <c r="A177" s="328">
        <f t="shared" si="11"/>
        <v>0.82211538461538469</v>
      </c>
      <c r="B177" s="330">
        <f t="shared" ca="1" si="12"/>
        <v>-1.1799092850133999</v>
      </c>
      <c r="C177" s="327">
        <f t="shared" ca="1" si="14"/>
        <v>0.21173508754356821</v>
      </c>
      <c r="D177" s="327">
        <f t="shared" ca="1" si="13"/>
        <v>1.033850472158953</v>
      </c>
    </row>
    <row r="178" spans="1:4">
      <c r="A178" s="328">
        <f t="shared" si="11"/>
        <v>0.82692307692307698</v>
      </c>
      <c r="B178" s="330">
        <f t="shared" ca="1" si="12"/>
        <v>0.56669940422562681</v>
      </c>
      <c r="C178" s="327">
        <f t="shared" ca="1" si="14"/>
        <v>0.18831244598347471</v>
      </c>
      <c r="D178" s="327">
        <f t="shared" ca="1" si="13"/>
        <v>1.0152355229065517</v>
      </c>
    </row>
    <row r="179" spans="1:4">
      <c r="A179" s="328">
        <f t="shared" si="11"/>
        <v>0.83173076923076927</v>
      </c>
      <c r="B179" s="330">
        <f t="shared" ca="1" si="12"/>
        <v>0.19037796906292082</v>
      </c>
      <c r="C179" s="327">
        <f t="shared" ca="1" si="14"/>
        <v>0.20247501644100999</v>
      </c>
      <c r="D179" s="327">
        <f t="shared" ca="1" si="13"/>
        <v>1.0342057856717792</v>
      </c>
    </row>
    <row r="180" spans="1:4">
      <c r="A180" s="328">
        <f t="shared" si="11"/>
        <v>0.83653846153846156</v>
      </c>
      <c r="B180" s="330">
        <f t="shared" ca="1" si="12"/>
        <v>-0.69329708212804841</v>
      </c>
      <c r="C180" s="327">
        <f t="shared" ca="1" si="14"/>
        <v>0.20082622960697766</v>
      </c>
      <c r="D180" s="327">
        <f t="shared" ca="1" si="13"/>
        <v>1.0373646911454393</v>
      </c>
    </row>
    <row r="181" spans="1:4">
      <c r="A181" s="328">
        <f t="shared" si="11"/>
        <v>0.84134615384615385</v>
      </c>
      <c r="B181" s="330">
        <f t="shared" ca="1" si="12"/>
        <v>-0.53108169578282294</v>
      </c>
      <c r="C181" s="327">
        <f t="shared" ca="1" si="14"/>
        <v>0.28124285702585783</v>
      </c>
      <c r="D181" s="327">
        <f t="shared" ca="1" si="13"/>
        <v>1.1225890108720118</v>
      </c>
    </row>
    <row r="182" spans="1:4">
      <c r="A182" s="328">
        <f t="shared" si="11"/>
        <v>0.84615384615384626</v>
      </c>
      <c r="B182" s="330">
        <f t="shared" ca="1" si="12"/>
        <v>-1.1526984130715234</v>
      </c>
      <c r="C182" s="327">
        <f t="shared" ca="1" si="14"/>
        <v>0.32749543003705289</v>
      </c>
      <c r="D182" s="327">
        <f t="shared" ca="1" si="13"/>
        <v>1.1736492761908992</v>
      </c>
    </row>
    <row r="183" spans="1:4">
      <c r="A183" s="328">
        <f t="shared" si="11"/>
        <v>0.85096153846153855</v>
      </c>
      <c r="B183" s="330">
        <f t="shared" ca="1" si="12"/>
        <v>-0.99430320206731904</v>
      </c>
      <c r="C183" s="327">
        <f t="shared" ca="1" si="14"/>
        <v>0.3781463430390089</v>
      </c>
      <c r="D183" s="327">
        <f t="shared" ca="1" si="13"/>
        <v>1.2291078815005474</v>
      </c>
    </row>
    <row r="184" spans="1:4">
      <c r="A184" s="328">
        <f t="shared" si="11"/>
        <v>0.85576923076923084</v>
      </c>
      <c r="B184" s="330">
        <f t="shared" ca="1" si="12"/>
        <v>0.30727184423312093</v>
      </c>
      <c r="C184" s="327">
        <f t="shared" ca="1" si="14"/>
        <v>0.40623401296808292</v>
      </c>
      <c r="D184" s="327">
        <f t="shared" ca="1" si="13"/>
        <v>1.2620032437373139</v>
      </c>
    </row>
    <row r="185" spans="1:4">
      <c r="A185" s="328">
        <f t="shared" si="11"/>
        <v>0.86057692307692313</v>
      </c>
      <c r="B185" s="330">
        <f t="shared" ca="1" si="12"/>
        <v>-0.99229508568250502</v>
      </c>
      <c r="C185" s="327">
        <f t="shared" ca="1" si="14"/>
        <v>0.52845066981150568</v>
      </c>
      <c r="D185" s="327">
        <f t="shared" ca="1" si="13"/>
        <v>1.3890275928884288</v>
      </c>
    </row>
    <row r="186" spans="1:4">
      <c r="A186" s="328">
        <f t="shared" si="11"/>
        <v>0.86538461538461542</v>
      </c>
      <c r="B186" s="330">
        <f t="shared" ca="1" si="12"/>
        <v>-0.66747005752093858</v>
      </c>
      <c r="C186" s="327">
        <f t="shared" ca="1" si="14"/>
        <v>0.47158344469297081</v>
      </c>
      <c r="D186" s="327">
        <f t="shared" ca="1" si="13"/>
        <v>1.3369680600775862</v>
      </c>
    </row>
    <row r="187" spans="1:4">
      <c r="A187" s="328">
        <f t="shared" si="11"/>
        <v>0.87019230769230771</v>
      </c>
      <c r="B187" s="330">
        <f t="shared" ca="1" si="12"/>
        <v>0.40263397472630724</v>
      </c>
      <c r="C187" s="327">
        <f t="shared" ca="1" si="14"/>
        <v>0.43773782005790163</v>
      </c>
      <c r="D187" s="327">
        <f t="shared" ca="1" si="13"/>
        <v>1.3079301277502093</v>
      </c>
    </row>
    <row r="188" spans="1:4">
      <c r="A188" s="328">
        <f t="shared" si="11"/>
        <v>0.875</v>
      </c>
      <c r="B188" s="330">
        <f t="shared" ca="1" si="12"/>
        <v>1.163210849187164</v>
      </c>
      <c r="C188" s="327">
        <f t="shared" ca="1" si="14"/>
        <v>0.45664561870933301</v>
      </c>
      <c r="D188" s="327">
        <f t="shared" ca="1" si="13"/>
        <v>1.3316456187093331</v>
      </c>
    </row>
    <row r="189" spans="1:4">
      <c r="A189" s="328">
        <f t="shared" si="11"/>
        <v>0.8798076923076924</v>
      </c>
      <c r="B189" s="330">
        <f t="shared" ca="1" si="12"/>
        <v>0.39680031665519738</v>
      </c>
      <c r="C189" s="327">
        <f t="shared" ca="1" si="14"/>
        <v>0.54833227742255519</v>
      </c>
      <c r="D189" s="327">
        <f t="shared" ca="1" si="13"/>
        <v>1.4281399697302475</v>
      </c>
    </row>
    <row r="190" spans="1:4">
      <c r="A190" s="328">
        <f t="shared" si="11"/>
        <v>0.88461538461538469</v>
      </c>
      <c r="B190" s="330">
        <f t="shared" ca="1" si="12"/>
        <v>0.55374010523765871</v>
      </c>
      <c r="C190" s="327">
        <f t="shared" ca="1" si="14"/>
        <v>0.4024052703660812</v>
      </c>
      <c r="D190" s="327">
        <f t="shared" ca="1" si="13"/>
        <v>1.287020654981466</v>
      </c>
    </row>
    <row r="191" spans="1:4">
      <c r="A191" s="328">
        <f t="shared" si="11"/>
        <v>0.88942307692307698</v>
      </c>
      <c r="B191" s="330">
        <f t="shared" ca="1" si="12"/>
        <v>-2.2386234043332474</v>
      </c>
      <c r="C191" s="327">
        <f t="shared" ca="1" si="14"/>
        <v>0.3099178555720421</v>
      </c>
      <c r="D191" s="327">
        <f t="shared" ca="1" si="13"/>
        <v>1.1993409324951192</v>
      </c>
    </row>
    <row r="192" spans="1:4">
      <c r="A192" s="328">
        <f t="shared" si="11"/>
        <v>0.89423076923076927</v>
      </c>
      <c r="B192" s="330">
        <f t="shared" ca="1" si="12"/>
        <v>0.22975094176216382</v>
      </c>
      <c r="C192" s="327">
        <f t="shared" ca="1" si="14"/>
        <v>0.29966994004065339</v>
      </c>
      <c r="D192" s="327">
        <f t="shared" ca="1" si="13"/>
        <v>1.1939007092714227</v>
      </c>
    </row>
    <row r="193" spans="1:4">
      <c r="A193" s="328">
        <f t="shared" si="11"/>
        <v>0.89903846153846156</v>
      </c>
      <c r="B193" s="330">
        <f t="shared" ca="1" si="12"/>
        <v>-0.80177040604889382</v>
      </c>
      <c r="C193" s="327">
        <f t="shared" ca="1" si="14"/>
        <v>0.24183614925886893</v>
      </c>
      <c r="D193" s="327">
        <f t="shared" ca="1" si="13"/>
        <v>1.1408746107973304</v>
      </c>
    </row>
    <row r="194" spans="1:4">
      <c r="A194" s="328">
        <f t="shared" si="11"/>
        <v>0.90384615384615385</v>
      </c>
      <c r="B194" s="330">
        <f t="shared" ca="1" si="12"/>
        <v>0.31083574773346689</v>
      </c>
      <c r="C194" s="327">
        <f t="shared" ca="1" si="14"/>
        <v>0.33827067265423727</v>
      </c>
      <c r="D194" s="327">
        <f t="shared" ca="1" si="13"/>
        <v>1.242116826500391</v>
      </c>
    </row>
    <row r="195" spans="1:4">
      <c r="A195" s="328">
        <f t="shared" si="11"/>
        <v>0.90865384615384626</v>
      </c>
      <c r="B195" s="330">
        <f t="shared" ca="1" si="12"/>
        <v>0.65047262952687501</v>
      </c>
      <c r="C195" s="327">
        <f t="shared" ca="1" si="14"/>
        <v>0.35687032687781228</v>
      </c>
      <c r="D195" s="327">
        <f t="shared" ca="1" si="13"/>
        <v>1.2655241730316584</v>
      </c>
    </row>
    <row r="196" spans="1:4">
      <c r="A196" s="328">
        <f t="shared" si="11"/>
        <v>0.91346153846153855</v>
      </c>
      <c r="B196" s="330">
        <f t="shared" ca="1" si="12"/>
        <v>0.91484547002660588</v>
      </c>
      <c r="C196" s="327">
        <f t="shared" ca="1" si="14"/>
        <v>0.40087222325154936</v>
      </c>
      <c r="D196" s="327">
        <f t="shared" ca="1" si="13"/>
        <v>1.3143337617130879</v>
      </c>
    </row>
    <row r="197" spans="1:4">
      <c r="A197" s="328">
        <f t="shared" si="11"/>
        <v>0.91826923076923084</v>
      </c>
      <c r="B197" s="330">
        <f t="shared" ca="1" si="12"/>
        <v>1.0763078862897097</v>
      </c>
      <c r="C197" s="327">
        <f t="shared" ca="1" si="14"/>
        <v>0.33619196994355288</v>
      </c>
      <c r="D197" s="327">
        <f t="shared" ca="1" si="13"/>
        <v>1.2544612007127838</v>
      </c>
    </row>
    <row r="198" spans="1:4">
      <c r="A198" s="328">
        <f t="shared" si="11"/>
        <v>0.92307692307692313</v>
      </c>
      <c r="B198" s="330">
        <f t="shared" ca="1" si="12"/>
        <v>-0.54073219802900074</v>
      </c>
      <c r="C198" s="327">
        <f t="shared" ca="1" si="14"/>
        <v>0.41124351002618859</v>
      </c>
      <c r="D198" s="327">
        <f t="shared" ca="1" si="13"/>
        <v>1.3343204331031118</v>
      </c>
    </row>
    <row r="199" spans="1:4">
      <c r="A199" s="328">
        <f t="shared" si="11"/>
        <v>0.92788461538461542</v>
      </c>
      <c r="B199" s="330">
        <f t="shared" ca="1" si="12"/>
        <v>-0.24629255308087017</v>
      </c>
      <c r="C199" s="327">
        <f t="shared" ca="1" si="14"/>
        <v>0.36287498238731691</v>
      </c>
      <c r="D199" s="327">
        <f t="shared" ca="1" si="13"/>
        <v>1.2907595977719324</v>
      </c>
    </row>
    <row r="200" spans="1:4">
      <c r="A200" s="328">
        <f t="shared" ref="A200:A229" si="15">IF(ROW()-6&gt;2*$C$2,"",$C$3*(ROW()-6))</f>
        <v>0.93269230769230771</v>
      </c>
      <c r="B200" s="330">
        <f t="shared" ref="B200:B215" ca="1" si="16">NORMINV(RAND(),0,1)</f>
        <v>-0.61385378486986764</v>
      </c>
      <c r="C200" s="327">
        <f t="shared" ca="1" si="14"/>
        <v>0.36820044704109578</v>
      </c>
      <c r="D200" s="327">
        <f t="shared" ref="D200:D263" ca="1" si="17">$D$4*A200+C200</f>
        <v>1.3008927547334035</v>
      </c>
    </row>
    <row r="201" spans="1:4">
      <c r="A201" s="328">
        <f t="shared" si="15"/>
        <v>0.9375</v>
      </c>
      <c r="B201" s="330">
        <f t="shared" ca="1" si="16"/>
        <v>-5.2122994304056279E-2</v>
      </c>
      <c r="C201" s="327">
        <f t="shared" ca="1" si="14"/>
        <v>0.48366785824500874</v>
      </c>
      <c r="D201" s="327">
        <f t="shared" ca="1" si="17"/>
        <v>1.4211678582450087</v>
      </c>
    </row>
    <row r="202" spans="1:4">
      <c r="A202" s="328">
        <f t="shared" si="15"/>
        <v>0.9423076923076924</v>
      </c>
      <c r="B202" s="330">
        <f t="shared" ca="1" si="16"/>
        <v>-1.3987529626685373</v>
      </c>
      <c r="C202" s="327">
        <f t="shared" ca="1" si="14"/>
        <v>0.53348124418125276</v>
      </c>
      <c r="D202" s="327">
        <f t="shared" ca="1" si="17"/>
        <v>1.4757889364889452</v>
      </c>
    </row>
    <row r="203" spans="1:4">
      <c r="A203" s="328">
        <f t="shared" si="15"/>
        <v>0.94711538461538469</v>
      </c>
      <c r="B203" s="330">
        <f t="shared" ca="1" si="16"/>
        <v>0.45201794863981487</v>
      </c>
      <c r="C203" s="327">
        <f t="shared" ca="1" si="14"/>
        <v>0.44795248209092614</v>
      </c>
      <c r="D203" s="327">
        <f t="shared" ca="1" si="17"/>
        <v>1.3950678667063108</v>
      </c>
    </row>
    <row r="204" spans="1:4">
      <c r="A204" s="328">
        <f t="shared" si="15"/>
        <v>0.95192307692307698</v>
      </c>
      <c r="B204" s="330">
        <f t="shared" ca="1" si="16"/>
        <v>0.96479174113409605</v>
      </c>
      <c r="C204" s="327">
        <f t="shared" ca="1" si="14"/>
        <v>0.44702195798581251</v>
      </c>
      <c r="D204" s="327">
        <f t="shared" ca="1" si="17"/>
        <v>1.3989450349088894</v>
      </c>
    </row>
    <row r="205" spans="1:4">
      <c r="A205" s="328">
        <f t="shared" si="15"/>
        <v>0.95673076923076927</v>
      </c>
      <c r="B205" s="330">
        <f t="shared" ca="1" si="16"/>
        <v>0.1316586215030919</v>
      </c>
      <c r="C205" s="327">
        <f t="shared" ca="1" si="14"/>
        <v>0.49335655178145549</v>
      </c>
      <c r="D205" s="327">
        <f t="shared" ca="1" si="17"/>
        <v>1.4500873210122247</v>
      </c>
    </row>
    <row r="206" spans="1:4">
      <c r="A206" s="328">
        <f t="shared" si="15"/>
        <v>0.96153846153846156</v>
      </c>
      <c r="B206" s="330">
        <f t="shared" ca="1" si="16"/>
        <v>-1.0498918401100075</v>
      </c>
      <c r="C206" s="327">
        <f t="shared" ca="1" si="14"/>
        <v>0.53179363699003501</v>
      </c>
      <c r="D206" s="327">
        <f t="shared" ca="1" si="17"/>
        <v>1.4933320985284966</v>
      </c>
    </row>
    <row r="207" spans="1:4">
      <c r="A207" s="328">
        <f t="shared" si="15"/>
        <v>0.96634615384615385</v>
      </c>
      <c r="B207" s="330">
        <f t="shared" ca="1" si="16"/>
        <v>0.25744919574931874</v>
      </c>
      <c r="C207" s="327">
        <f t="shared" ca="1" si="14"/>
        <v>0.56353684993046227</v>
      </c>
      <c r="D207" s="327">
        <f t="shared" ca="1" si="17"/>
        <v>1.5298830037766162</v>
      </c>
    </row>
    <row r="208" spans="1:4">
      <c r="A208" s="328">
        <f t="shared" si="15"/>
        <v>0.97115384615384626</v>
      </c>
      <c r="B208" s="330">
        <f t="shared" ca="1" si="16"/>
        <v>-0.46271912207000548</v>
      </c>
      <c r="C208" s="327">
        <f t="shared" ca="1" si="14"/>
        <v>0.67197655077007712</v>
      </c>
      <c r="D208" s="327">
        <f t="shared" ca="1" si="17"/>
        <v>1.6431303969239233</v>
      </c>
    </row>
    <row r="209" spans="1:4">
      <c r="A209" s="328">
        <f t="shared" si="15"/>
        <v>0.97596153846153855</v>
      </c>
      <c r="B209" s="330">
        <f t="shared" ca="1" si="16"/>
        <v>2.8734721432817638</v>
      </c>
      <c r="C209" s="327">
        <f t="shared" ca="1" si="14"/>
        <v>0.68091306077319658</v>
      </c>
      <c r="D209" s="327">
        <f t="shared" ca="1" si="17"/>
        <v>1.6568745992347351</v>
      </c>
    </row>
    <row r="210" spans="1:4">
      <c r="A210" s="328">
        <f t="shared" si="15"/>
        <v>0.98076923076923084</v>
      </c>
      <c r="B210" s="330">
        <f t="shared" ca="1" si="16"/>
        <v>-1.3588969053913935</v>
      </c>
      <c r="C210" s="327">
        <f t="shared" ca="1" si="14"/>
        <v>0.62157757079271847</v>
      </c>
      <c r="D210" s="327">
        <f t="shared" ca="1" si="17"/>
        <v>1.6023468015619493</v>
      </c>
    </row>
    <row r="211" spans="1:4">
      <c r="A211" s="328">
        <f t="shared" si="15"/>
        <v>0.98557692307692313</v>
      </c>
      <c r="B211" s="330">
        <f t="shared" ca="1" si="16"/>
        <v>1.0680527509582587</v>
      </c>
      <c r="C211" s="327">
        <f t="shared" ca="1" si="14"/>
        <v>0.7575657778463214</v>
      </c>
      <c r="D211" s="327">
        <f t="shared" ca="1" si="17"/>
        <v>1.7431427009232445</v>
      </c>
    </row>
    <row r="212" spans="1:4">
      <c r="A212" s="328">
        <f t="shared" si="15"/>
        <v>0.99038461538461542</v>
      </c>
      <c r="B212" s="330">
        <f t="shared" ca="1" si="16"/>
        <v>-0.81740750366265669</v>
      </c>
      <c r="C212" s="327">
        <f t="shared" ca="1" si="14"/>
        <v>0.71486535773480464</v>
      </c>
      <c r="D212" s="327">
        <f t="shared" ca="1" si="17"/>
        <v>1.7052499731194199</v>
      </c>
    </row>
    <row r="213" spans="1:4">
      <c r="A213" s="328">
        <f t="shared" si="15"/>
        <v>0.99519230769230771</v>
      </c>
      <c r="B213" s="330">
        <f t="shared" ca="1" si="16"/>
        <v>-0.19575231853820513</v>
      </c>
      <c r="C213" s="327">
        <f t="shared" ca="1" si="14"/>
        <v>0.71892135909524724</v>
      </c>
      <c r="D213" s="327">
        <f t="shared" ca="1" si="17"/>
        <v>1.7141136667875549</v>
      </c>
    </row>
    <row r="214" spans="1:4">
      <c r="A214" s="328">
        <f t="shared" si="15"/>
        <v>1</v>
      </c>
      <c r="B214" s="330">
        <f t="shared" ca="1" si="16"/>
        <v>-0.44899278422901084</v>
      </c>
      <c r="C214" s="327">
        <f t="shared" ca="1" si="14"/>
        <v>0.77776802365615083</v>
      </c>
      <c r="D214" s="327">
        <f t="shared" ca="1" si="17"/>
        <v>1.7777680236561508</v>
      </c>
    </row>
    <row r="215" spans="1:4">
      <c r="A215" s="328">
        <f t="shared" si="15"/>
        <v>1.0048076923076923</v>
      </c>
      <c r="B215" s="330">
        <f t="shared" ca="1" si="16"/>
        <v>-0.58152861567717884</v>
      </c>
      <c r="C215" s="327">
        <f t="shared" ca="1" si="14"/>
        <v>0.77251891923590821</v>
      </c>
      <c r="D215" s="327">
        <f t="shared" ca="1" si="17"/>
        <v>1.7773266115436006</v>
      </c>
    </row>
    <row r="216" spans="1:4">
      <c r="A216" s="328">
        <f t="shared" si="15"/>
        <v>1.0096153846153846</v>
      </c>
      <c r="B216" s="328"/>
      <c r="C216" s="327">
        <f t="shared" ca="1" si="14"/>
        <v>0.70883667375145154</v>
      </c>
      <c r="D216" s="327">
        <f t="shared" ca="1" si="17"/>
        <v>1.7184520583668361</v>
      </c>
    </row>
    <row r="217" spans="1:4">
      <c r="A217" s="328">
        <f t="shared" si="15"/>
        <v>1.0144230769230769</v>
      </c>
      <c r="B217" s="328"/>
      <c r="C217" s="327">
        <f t="shared" ca="1" si="14"/>
        <v>0.80616090451589206</v>
      </c>
      <c r="D217" s="327">
        <f t="shared" ca="1" si="17"/>
        <v>1.8205839814389688</v>
      </c>
    </row>
    <row r="218" spans="1:4">
      <c r="A218" s="328">
        <f t="shared" si="15"/>
        <v>1.0192307692307694</v>
      </c>
      <c r="B218" s="328"/>
      <c r="C218" s="327">
        <f t="shared" ca="1" si="14"/>
        <v>0.88044205377633067</v>
      </c>
      <c r="D218" s="327">
        <f t="shared" ca="1" si="17"/>
        <v>1.8996728230071001</v>
      </c>
    </row>
    <row r="219" spans="1:4">
      <c r="A219" s="328">
        <f t="shared" si="15"/>
        <v>1.0240384615384617</v>
      </c>
      <c r="B219" s="328"/>
      <c r="C219" s="327">
        <f t="shared" ca="1" si="14"/>
        <v>0.65803030974223875</v>
      </c>
      <c r="D219" s="327">
        <f t="shared" ca="1" si="17"/>
        <v>1.6820687712807003</v>
      </c>
    </row>
    <row r="220" spans="1:4">
      <c r="A220" s="328">
        <f t="shared" si="15"/>
        <v>1.028846153846154</v>
      </c>
      <c r="B220" s="328"/>
      <c r="C220" s="327">
        <f t="shared" ca="1" si="14"/>
        <v>0.72017241259141151</v>
      </c>
      <c r="D220" s="327">
        <f t="shared" ca="1" si="17"/>
        <v>1.7490185664375655</v>
      </c>
    </row>
    <row r="221" spans="1:4">
      <c r="A221" s="328">
        <f t="shared" si="15"/>
        <v>1.0336538461538463</v>
      </c>
      <c r="B221" s="328"/>
      <c r="C221" s="327">
        <f t="shared" ca="1" si="14"/>
        <v>0.72255025969334807</v>
      </c>
      <c r="D221" s="327">
        <f t="shared" ca="1" si="17"/>
        <v>1.7562041058471944</v>
      </c>
    </row>
    <row r="222" spans="1:4">
      <c r="A222" s="328">
        <f t="shared" si="15"/>
        <v>1.0384615384615385</v>
      </c>
      <c r="B222" s="328"/>
      <c r="C222" s="327">
        <f t="shared" ca="1" si="14"/>
        <v>0.79145593546514681</v>
      </c>
      <c r="D222" s="327">
        <f t="shared" ca="1" si="17"/>
        <v>1.8299174739266855</v>
      </c>
    </row>
    <row r="223" spans="1:4">
      <c r="A223" s="328">
        <f t="shared" si="15"/>
        <v>1.0432692307692308</v>
      </c>
      <c r="B223" s="328"/>
      <c r="C223" s="327">
        <f t="shared" ca="1" si="14"/>
        <v>0.76058810488831952</v>
      </c>
      <c r="D223" s="327">
        <f t="shared" ca="1" si="17"/>
        <v>1.8038573356575505</v>
      </c>
    </row>
    <row r="224" spans="1:4">
      <c r="A224" s="328">
        <f t="shared" si="15"/>
        <v>1.0480769230769231</v>
      </c>
      <c r="B224" s="328"/>
      <c r="C224" s="327">
        <f t="shared" ca="1" si="14"/>
        <v>0.74652764909961034</v>
      </c>
      <c r="D224" s="327">
        <f t="shared" ca="1" si="17"/>
        <v>1.7946045721765334</v>
      </c>
    </row>
    <row r="225" spans="1:4">
      <c r="A225" s="328">
        <f t="shared" si="15"/>
        <v>1.0528846153846154</v>
      </c>
      <c r="B225" s="328"/>
      <c r="C225" s="327">
        <f t="shared" ca="1" si="14"/>
        <v>0.64770757169242743</v>
      </c>
      <c r="D225" s="327">
        <f t="shared" ca="1" si="17"/>
        <v>1.7005921870770428</v>
      </c>
    </row>
    <row r="226" spans="1:4">
      <c r="A226" s="328">
        <f t="shared" si="15"/>
        <v>1.0576923076923077</v>
      </c>
      <c r="B226" s="328"/>
      <c r="C226" s="327">
        <f t="shared" ca="1" si="14"/>
        <v>0.66415327514854872</v>
      </c>
      <c r="D226" s="327">
        <f t="shared" ca="1" si="17"/>
        <v>1.7218455828408565</v>
      </c>
    </row>
    <row r="227" spans="1:4">
      <c r="A227" s="328">
        <f t="shared" si="15"/>
        <v>1.0625</v>
      </c>
      <c r="B227" s="328"/>
      <c r="C227" s="327">
        <f t="shared" ca="1" si="14"/>
        <v>0.69821052831626618</v>
      </c>
      <c r="D227" s="327">
        <f t="shared" ca="1" si="17"/>
        <v>1.7607105283162663</v>
      </c>
    </row>
    <row r="228" spans="1:4">
      <c r="A228" s="328">
        <f t="shared" si="15"/>
        <v>1.0673076923076923</v>
      </c>
      <c r="B228" s="328"/>
      <c r="C228" s="327">
        <f t="shared" ca="1" si="14"/>
        <v>0.64908256384437968</v>
      </c>
      <c r="D228" s="327">
        <f t="shared" ca="1" si="17"/>
        <v>1.7163902561520721</v>
      </c>
    </row>
    <row r="229" spans="1:4">
      <c r="A229" s="328">
        <f t="shared" si="15"/>
        <v>1.0721153846153846</v>
      </c>
      <c r="B229" s="328"/>
      <c r="C229" s="327">
        <f t="shared" ca="1" si="14"/>
        <v>0.655101247142308</v>
      </c>
      <c r="D229" s="327">
        <f t="shared" ca="1" si="17"/>
        <v>1.7272166317576927</v>
      </c>
    </row>
    <row r="230" spans="1:4">
      <c r="A230" s="328" t="str">
        <f t="shared" ref="A230:A293" si="18">IF(ROW()-6&gt;$C$2,"",$C$3*(ROW()-6))</f>
        <v/>
      </c>
      <c r="B230" s="328"/>
      <c r="C230" s="327">
        <f t="shared" ca="1" si="14"/>
        <v>0.69920937077251777</v>
      </c>
      <c r="D230" s="327" t="e">
        <f t="shared" ca="1" si="17"/>
        <v>#VALUE!</v>
      </c>
    </row>
    <row r="231" spans="1:4">
      <c r="A231" s="328" t="str">
        <f t="shared" si="18"/>
        <v/>
      </c>
      <c r="B231" s="328"/>
      <c r="C231" s="327">
        <f t="shared" ca="1" si="14"/>
        <v>0.68429557178599509</v>
      </c>
      <c r="D231" s="327" t="e">
        <f t="shared" ca="1" si="17"/>
        <v>#VALUE!</v>
      </c>
    </row>
    <row r="232" spans="1:4">
      <c r="A232" s="328" t="str">
        <f t="shared" si="18"/>
        <v/>
      </c>
      <c r="B232" s="328"/>
      <c r="C232" s="327">
        <f t="shared" ca="1" si="14"/>
        <v>0.8806844059207759</v>
      </c>
      <c r="D232" s="327" t="e">
        <f t="shared" ca="1" si="17"/>
        <v>#VALUE!</v>
      </c>
    </row>
    <row r="233" spans="1:4">
      <c r="A233" s="328" t="str">
        <f t="shared" si="18"/>
        <v/>
      </c>
      <c r="B233" s="328"/>
      <c r="C233" s="327">
        <f t="shared" ca="1" si="14"/>
        <v>0.89235743845986348</v>
      </c>
      <c r="D233" s="327" t="e">
        <f t="shared" ca="1" si="17"/>
        <v>#VALUE!</v>
      </c>
    </row>
    <row r="234" spans="1:4">
      <c r="A234" s="328" t="str">
        <f t="shared" si="18"/>
        <v/>
      </c>
      <c r="B234" s="328"/>
      <c r="C234" s="327">
        <f t="shared" ca="1" si="14"/>
        <v>0.83339739472668473</v>
      </c>
      <c r="D234" s="327" t="e">
        <f t="shared" ca="1" si="17"/>
        <v>#VALUE!</v>
      </c>
    </row>
    <row r="235" spans="1:4">
      <c r="A235" s="328" t="str">
        <f t="shared" si="18"/>
        <v/>
      </c>
      <c r="B235" s="328"/>
      <c r="C235" s="327">
        <f t="shared" ca="1" si="14"/>
        <v>0.79874698418200119</v>
      </c>
      <c r="D235" s="327" t="e">
        <f t="shared" ca="1" si="17"/>
        <v>#VALUE!</v>
      </c>
    </row>
    <row r="236" spans="1:4">
      <c r="A236" s="328" t="str">
        <f t="shared" si="18"/>
        <v/>
      </c>
      <c r="B236" s="328"/>
      <c r="C236" s="327">
        <f t="shared" ca="1" si="14"/>
        <v>0.84484399962587964</v>
      </c>
      <c r="D236" s="327" t="e">
        <f t="shared" ca="1" si="17"/>
        <v>#VALUE!</v>
      </c>
    </row>
    <row r="237" spans="1:4">
      <c r="A237" s="328" t="str">
        <f t="shared" si="18"/>
        <v/>
      </c>
      <c r="B237" s="328"/>
      <c r="C237" s="327">
        <f t="shared" ca="1" si="14"/>
        <v>0.8055792465852617</v>
      </c>
      <c r="D237" s="327" t="e">
        <f t="shared" ca="1" si="17"/>
        <v>#VALUE!</v>
      </c>
    </row>
    <row r="238" spans="1:4">
      <c r="A238" s="328" t="str">
        <f t="shared" si="18"/>
        <v/>
      </c>
      <c r="B238" s="328"/>
      <c r="C238" s="327">
        <f t="shared" ca="1" si="14"/>
        <v>0.76504788371628663</v>
      </c>
      <c r="D238" s="327" t="e">
        <f t="shared" ca="1" si="17"/>
        <v>#VALUE!</v>
      </c>
    </row>
    <row r="239" spans="1:4">
      <c r="A239" s="328" t="str">
        <f t="shared" si="18"/>
        <v/>
      </c>
      <c r="B239" s="328"/>
      <c r="C239" s="327">
        <f t="shared" ca="1" si="14"/>
        <v>0.78386117533872868</v>
      </c>
      <c r="D239" s="327" t="e">
        <f t="shared" ca="1" si="17"/>
        <v>#VALUE!</v>
      </c>
    </row>
    <row r="240" spans="1:4">
      <c r="A240" s="328" t="str">
        <f t="shared" si="18"/>
        <v/>
      </c>
      <c r="B240" s="328"/>
      <c r="C240" s="327">
        <f t="shared" ref="C240:C303" ca="1" si="19">C239+NORMINV(RAND(),0,1)*SQRT($C$3)</f>
        <v>0.78237232261065959</v>
      </c>
      <c r="D240" s="327" t="e">
        <f t="shared" ca="1" si="17"/>
        <v>#VALUE!</v>
      </c>
    </row>
    <row r="241" spans="1:4">
      <c r="A241" s="328" t="str">
        <f t="shared" si="18"/>
        <v/>
      </c>
      <c r="B241" s="328"/>
      <c r="C241" s="327">
        <f t="shared" ca="1" si="19"/>
        <v>0.81526932975798161</v>
      </c>
      <c r="D241" s="327" t="e">
        <f t="shared" ca="1" si="17"/>
        <v>#VALUE!</v>
      </c>
    </row>
    <row r="242" spans="1:4">
      <c r="A242" s="328" t="str">
        <f t="shared" si="18"/>
        <v/>
      </c>
      <c r="B242" s="328"/>
      <c r="C242" s="327">
        <f t="shared" ca="1" si="19"/>
        <v>0.84038774608374123</v>
      </c>
      <c r="D242" s="327" t="e">
        <f t="shared" ca="1" si="17"/>
        <v>#VALUE!</v>
      </c>
    </row>
    <row r="243" spans="1:4">
      <c r="A243" s="328" t="str">
        <f t="shared" si="18"/>
        <v/>
      </c>
      <c r="B243" s="328"/>
      <c r="C243" s="327">
        <f t="shared" ca="1" si="19"/>
        <v>0.84177856989355226</v>
      </c>
      <c r="D243" s="327" t="e">
        <f t="shared" ca="1" si="17"/>
        <v>#VALUE!</v>
      </c>
    </row>
    <row r="244" spans="1:4">
      <c r="A244" s="328" t="str">
        <f t="shared" si="18"/>
        <v/>
      </c>
      <c r="B244" s="328"/>
      <c r="C244" s="327">
        <f t="shared" ca="1" si="19"/>
        <v>0.79570113572783197</v>
      </c>
      <c r="D244" s="327" t="e">
        <f t="shared" ca="1" si="17"/>
        <v>#VALUE!</v>
      </c>
    </row>
    <row r="245" spans="1:4">
      <c r="A245" s="328" t="str">
        <f t="shared" si="18"/>
        <v/>
      </c>
      <c r="B245" s="328"/>
      <c r="C245" s="327">
        <f t="shared" ca="1" si="19"/>
        <v>0.84551138936811443</v>
      </c>
      <c r="D245" s="327" t="e">
        <f t="shared" ca="1" si="17"/>
        <v>#VALUE!</v>
      </c>
    </row>
    <row r="246" spans="1:4">
      <c r="A246" s="328" t="str">
        <f t="shared" si="18"/>
        <v/>
      </c>
      <c r="B246" s="328"/>
      <c r="C246" s="327">
        <f t="shared" ca="1" si="19"/>
        <v>0.87324005778989977</v>
      </c>
      <c r="D246" s="327" t="e">
        <f t="shared" ca="1" si="17"/>
        <v>#VALUE!</v>
      </c>
    </row>
    <row r="247" spans="1:4">
      <c r="A247" s="328" t="str">
        <f t="shared" si="18"/>
        <v/>
      </c>
      <c r="B247" s="328"/>
      <c r="C247" s="327">
        <f t="shared" ca="1" si="19"/>
        <v>0.87825464638946715</v>
      </c>
      <c r="D247" s="327" t="e">
        <f t="shared" ca="1" si="17"/>
        <v>#VALUE!</v>
      </c>
    </row>
    <row r="248" spans="1:4">
      <c r="A248" s="328" t="str">
        <f t="shared" si="18"/>
        <v/>
      </c>
      <c r="B248" s="328"/>
      <c r="C248" s="327">
        <f t="shared" ca="1" si="19"/>
        <v>0.89008228579171333</v>
      </c>
      <c r="D248" s="327" t="e">
        <f t="shared" ca="1" si="17"/>
        <v>#VALUE!</v>
      </c>
    </row>
    <row r="249" spans="1:4">
      <c r="A249" s="328" t="str">
        <f t="shared" si="18"/>
        <v/>
      </c>
      <c r="B249" s="328"/>
      <c r="C249" s="327">
        <f t="shared" ca="1" si="19"/>
        <v>0.89220033245363817</v>
      </c>
      <c r="D249" s="327" t="e">
        <f t="shared" ca="1" si="17"/>
        <v>#VALUE!</v>
      </c>
    </row>
    <row r="250" spans="1:4">
      <c r="A250" s="328" t="str">
        <f t="shared" si="18"/>
        <v/>
      </c>
      <c r="B250" s="328"/>
      <c r="C250" s="327">
        <f t="shared" ca="1" si="19"/>
        <v>0.93361216785643986</v>
      </c>
      <c r="D250" s="327" t="e">
        <f t="shared" ca="1" si="17"/>
        <v>#VALUE!</v>
      </c>
    </row>
    <row r="251" spans="1:4">
      <c r="A251" s="328" t="str">
        <f t="shared" si="18"/>
        <v/>
      </c>
      <c r="B251" s="328"/>
      <c r="C251" s="327">
        <f t="shared" ca="1" si="19"/>
        <v>0.94017027849368973</v>
      </c>
      <c r="D251" s="327" t="e">
        <f t="shared" ca="1" si="17"/>
        <v>#VALUE!</v>
      </c>
    </row>
    <row r="252" spans="1:4">
      <c r="A252" s="328" t="str">
        <f t="shared" si="18"/>
        <v/>
      </c>
      <c r="B252" s="328"/>
      <c r="C252" s="327">
        <f t="shared" ca="1" si="19"/>
        <v>0.88389243931176698</v>
      </c>
      <c r="D252" s="327" t="e">
        <f t="shared" ca="1" si="17"/>
        <v>#VALUE!</v>
      </c>
    </row>
    <row r="253" spans="1:4">
      <c r="A253" s="328" t="str">
        <f t="shared" si="18"/>
        <v/>
      </c>
      <c r="B253" s="328"/>
      <c r="C253" s="327">
        <f t="shared" ca="1" si="19"/>
        <v>0.85865139439275406</v>
      </c>
      <c r="D253" s="327" t="e">
        <f t="shared" ca="1" si="17"/>
        <v>#VALUE!</v>
      </c>
    </row>
    <row r="254" spans="1:4">
      <c r="A254" s="328" t="str">
        <f t="shared" si="18"/>
        <v/>
      </c>
      <c r="B254" s="328"/>
      <c r="C254" s="327">
        <f t="shared" ca="1" si="19"/>
        <v>0.87230926412186605</v>
      </c>
      <c r="D254" s="327" t="e">
        <f t="shared" ca="1" si="17"/>
        <v>#VALUE!</v>
      </c>
    </row>
    <row r="255" spans="1:4">
      <c r="A255" s="328" t="str">
        <f t="shared" si="18"/>
        <v/>
      </c>
      <c r="B255" s="328"/>
      <c r="C255" s="327">
        <f t="shared" ca="1" si="19"/>
        <v>0.95412429917144204</v>
      </c>
      <c r="D255" s="327" t="e">
        <f t="shared" ca="1" si="17"/>
        <v>#VALUE!</v>
      </c>
    </row>
    <row r="256" spans="1:4">
      <c r="A256" s="328" t="str">
        <f t="shared" si="18"/>
        <v/>
      </c>
      <c r="B256" s="328"/>
      <c r="C256" s="327">
        <f t="shared" ca="1" si="19"/>
        <v>0.91798191585191513</v>
      </c>
      <c r="D256" s="327" t="e">
        <f t="shared" ca="1" si="17"/>
        <v>#VALUE!</v>
      </c>
    </row>
    <row r="257" spans="1:4">
      <c r="A257" s="328" t="str">
        <f t="shared" si="18"/>
        <v/>
      </c>
      <c r="B257" s="328"/>
      <c r="C257" s="327">
        <f t="shared" ca="1" si="19"/>
        <v>0.76206438887910344</v>
      </c>
      <c r="D257" s="327" t="e">
        <f t="shared" ca="1" si="17"/>
        <v>#VALUE!</v>
      </c>
    </row>
    <row r="258" spans="1:4">
      <c r="A258" s="328" t="str">
        <f t="shared" si="18"/>
        <v/>
      </c>
      <c r="B258" s="328"/>
      <c r="C258" s="327">
        <f t="shared" ca="1" si="19"/>
        <v>0.8987054992283946</v>
      </c>
      <c r="D258" s="327" t="e">
        <f t="shared" ca="1" si="17"/>
        <v>#VALUE!</v>
      </c>
    </row>
    <row r="259" spans="1:4">
      <c r="A259" s="328" t="str">
        <f t="shared" si="18"/>
        <v/>
      </c>
      <c r="B259" s="328"/>
      <c r="C259" s="327">
        <f t="shared" ca="1" si="19"/>
        <v>0.80008778038866346</v>
      </c>
      <c r="D259" s="327" t="e">
        <f t="shared" ca="1" si="17"/>
        <v>#VALUE!</v>
      </c>
    </row>
    <row r="260" spans="1:4">
      <c r="A260" s="328" t="str">
        <f t="shared" si="18"/>
        <v/>
      </c>
      <c r="B260" s="328"/>
      <c r="C260" s="327">
        <f t="shared" ca="1" si="19"/>
        <v>0.78002907079937756</v>
      </c>
      <c r="D260" s="327" t="e">
        <f t="shared" ca="1" si="17"/>
        <v>#VALUE!</v>
      </c>
    </row>
    <row r="261" spans="1:4">
      <c r="A261" s="328" t="str">
        <f t="shared" si="18"/>
        <v/>
      </c>
      <c r="B261" s="328"/>
      <c r="C261" s="327">
        <f t="shared" ca="1" si="19"/>
        <v>0.924731511761549</v>
      </c>
      <c r="D261" s="327" t="e">
        <f t="shared" ca="1" si="17"/>
        <v>#VALUE!</v>
      </c>
    </row>
    <row r="262" spans="1:4">
      <c r="A262" s="328" t="str">
        <f t="shared" si="18"/>
        <v/>
      </c>
      <c r="B262" s="328"/>
      <c r="C262" s="327">
        <f t="shared" ca="1" si="19"/>
        <v>0.81713197456408171</v>
      </c>
      <c r="D262" s="327" t="e">
        <f t="shared" ca="1" si="17"/>
        <v>#VALUE!</v>
      </c>
    </row>
    <row r="263" spans="1:4">
      <c r="A263" s="328" t="str">
        <f t="shared" si="18"/>
        <v/>
      </c>
      <c r="B263" s="328"/>
      <c r="C263" s="327">
        <f t="shared" ca="1" si="19"/>
        <v>0.9031408436226982</v>
      </c>
      <c r="D263" s="327" t="e">
        <f t="shared" ca="1" si="17"/>
        <v>#VALUE!</v>
      </c>
    </row>
    <row r="264" spans="1:4">
      <c r="A264" s="328" t="str">
        <f t="shared" si="18"/>
        <v/>
      </c>
      <c r="B264" s="328"/>
      <c r="C264" s="327">
        <f t="shared" ca="1" si="19"/>
        <v>0.8313565824277892</v>
      </c>
      <c r="D264" s="327" t="e">
        <f t="shared" ref="D264:D327" ca="1" si="20">$D$4*A264+C264</f>
        <v>#VALUE!</v>
      </c>
    </row>
    <row r="265" spans="1:4">
      <c r="A265" s="328" t="str">
        <f t="shared" si="18"/>
        <v/>
      </c>
      <c r="B265" s="328"/>
      <c r="C265" s="327">
        <f t="shared" ca="1" si="19"/>
        <v>0.75243085963020029</v>
      </c>
      <c r="D265" s="327" t="e">
        <f t="shared" ca="1" si="20"/>
        <v>#VALUE!</v>
      </c>
    </row>
    <row r="266" spans="1:4">
      <c r="A266" s="328" t="str">
        <f t="shared" si="18"/>
        <v/>
      </c>
      <c r="B266" s="328"/>
      <c r="C266" s="327">
        <f t="shared" ca="1" si="19"/>
        <v>0.72388531427791603</v>
      </c>
      <c r="D266" s="327" t="e">
        <f t="shared" ca="1" si="20"/>
        <v>#VALUE!</v>
      </c>
    </row>
    <row r="267" spans="1:4">
      <c r="A267" s="328" t="str">
        <f t="shared" si="18"/>
        <v/>
      </c>
      <c r="B267" s="328"/>
      <c r="C267" s="327">
        <f t="shared" ca="1" si="19"/>
        <v>0.70718930725464257</v>
      </c>
      <c r="D267" s="327" t="e">
        <f t="shared" ca="1" si="20"/>
        <v>#VALUE!</v>
      </c>
    </row>
    <row r="268" spans="1:4">
      <c r="A268" s="328" t="str">
        <f t="shared" si="18"/>
        <v/>
      </c>
      <c r="B268" s="328"/>
      <c r="C268" s="327">
        <f t="shared" ca="1" si="19"/>
        <v>0.82466350250074083</v>
      </c>
      <c r="D268" s="327" t="e">
        <f t="shared" ca="1" si="20"/>
        <v>#VALUE!</v>
      </c>
    </row>
    <row r="269" spans="1:4">
      <c r="A269" s="328" t="str">
        <f t="shared" si="18"/>
        <v/>
      </c>
      <c r="B269" s="328"/>
      <c r="C269" s="327">
        <f t="shared" ca="1" si="19"/>
        <v>0.67397585780277602</v>
      </c>
      <c r="D269" s="327" t="e">
        <f t="shared" ca="1" si="20"/>
        <v>#VALUE!</v>
      </c>
    </row>
    <row r="270" spans="1:4">
      <c r="A270" s="328" t="str">
        <f t="shared" si="18"/>
        <v/>
      </c>
      <c r="B270" s="328"/>
      <c r="C270" s="327">
        <f t="shared" ca="1" si="19"/>
        <v>0.64195186573698171</v>
      </c>
      <c r="D270" s="327" t="e">
        <f t="shared" ca="1" si="20"/>
        <v>#VALUE!</v>
      </c>
    </row>
    <row r="271" spans="1:4">
      <c r="A271" s="328" t="str">
        <f t="shared" si="18"/>
        <v/>
      </c>
      <c r="B271" s="328"/>
      <c r="C271" s="327">
        <f t="shared" ca="1" si="19"/>
        <v>0.65948509213172168</v>
      </c>
      <c r="D271" s="327" t="e">
        <f t="shared" ca="1" si="20"/>
        <v>#VALUE!</v>
      </c>
    </row>
    <row r="272" spans="1:4">
      <c r="A272" s="328" t="str">
        <f t="shared" si="18"/>
        <v/>
      </c>
      <c r="B272" s="328"/>
      <c r="C272" s="327">
        <f t="shared" ca="1" si="19"/>
        <v>0.65480494105156906</v>
      </c>
      <c r="D272" s="327" t="e">
        <f t="shared" ca="1" si="20"/>
        <v>#VALUE!</v>
      </c>
    </row>
    <row r="273" spans="1:4">
      <c r="A273" s="328" t="str">
        <f t="shared" si="18"/>
        <v/>
      </c>
      <c r="B273" s="328"/>
      <c r="C273" s="327">
        <f t="shared" ca="1" si="19"/>
        <v>0.89460483708285032</v>
      </c>
      <c r="D273" s="327" t="e">
        <f t="shared" ca="1" si="20"/>
        <v>#VALUE!</v>
      </c>
    </row>
    <row r="274" spans="1:4">
      <c r="A274" s="328" t="str">
        <f t="shared" si="18"/>
        <v/>
      </c>
      <c r="B274" s="328"/>
      <c r="C274" s="327">
        <f t="shared" ca="1" si="19"/>
        <v>0.96093887652507415</v>
      </c>
      <c r="D274" s="327" t="e">
        <f t="shared" ca="1" si="20"/>
        <v>#VALUE!</v>
      </c>
    </row>
    <row r="275" spans="1:4">
      <c r="A275" s="328" t="str">
        <f t="shared" si="18"/>
        <v/>
      </c>
      <c r="B275" s="328"/>
      <c r="C275" s="327">
        <f t="shared" ca="1" si="19"/>
        <v>0.84956920226112953</v>
      </c>
      <c r="D275" s="327" t="e">
        <f t="shared" ca="1" si="20"/>
        <v>#VALUE!</v>
      </c>
    </row>
    <row r="276" spans="1:4">
      <c r="A276" s="328" t="str">
        <f t="shared" si="18"/>
        <v/>
      </c>
      <c r="B276" s="328"/>
      <c r="C276" s="327">
        <f t="shared" ca="1" si="19"/>
        <v>0.77045228040698099</v>
      </c>
      <c r="D276" s="327" t="e">
        <f t="shared" ca="1" si="20"/>
        <v>#VALUE!</v>
      </c>
    </row>
    <row r="277" spans="1:4">
      <c r="A277" s="328" t="str">
        <f t="shared" si="18"/>
        <v/>
      </c>
      <c r="B277" s="328"/>
      <c r="C277" s="327">
        <f t="shared" ca="1" si="19"/>
        <v>0.75081304357530909</v>
      </c>
      <c r="D277" s="327" t="e">
        <f t="shared" ca="1" si="20"/>
        <v>#VALUE!</v>
      </c>
    </row>
    <row r="278" spans="1:4">
      <c r="A278" s="328" t="str">
        <f t="shared" si="18"/>
        <v/>
      </c>
      <c r="B278" s="328"/>
      <c r="C278" s="327">
        <f t="shared" ca="1" si="19"/>
        <v>0.61956779968000997</v>
      </c>
      <c r="D278" s="327" t="e">
        <f t="shared" ca="1" si="20"/>
        <v>#VALUE!</v>
      </c>
    </row>
    <row r="279" spans="1:4">
      <c r="A279" s="328" t="str">
        <f t="shared" si="18"/>
        <v/>
      </c>
      <c r="B279" s="328"/>
      <c r="C279" s="327">
        <f t="shared" ca="1" si="19"/>
        <v>0.64297744163239423</v>
      </c>
      <c r="D279" s="327" t="e">
        <f t="shared" ca="1" si="20"/>
        <v>#VALUE!</v>
      </c>
    </row>
    <row r="280" spans="1:4">
      <c r="A280" s="328" t="str">
        <f t="shared" si="18"/>
        <v/>
      </c>
      <c r="B280" s="328"/>
      <c r="C280" s="327">
        <f t="shared" ca="1" si="19"/>
        <v>0.61092113417302807</v>
      </c>
      <c r="D280" s="327" t="e">
        <f t="shared" ca="1" si="20"/>
        <v>#VALUE!</v>
      </c>
    </row>
    <row r="281" spans="1:4">
      <c r="A281" s="328" t="str">
        <f t="shared" si="18"/>
        <v/>
      </c>
      <c r="B281" s="328"/>
      <c r="C281" s="327">
        <f t="shared" ca="1" si="19"/>
        <v>0.70804590906172138</v>
      </c>
      <c r="D281" s="327" t="e">
        <f t="shared" ca="1" si="20"/>
        <v>#VALUE!</v>
      </c>
    </row>
    <row r="282" spans="1:4">
      <c r="A282" s="328" t="str">
        <f t="shared" si="18"/>
        <v/>
      </c>
      <c r="B282" s="328"/>
      <c r="C282" s="327">
        <f t="shared" ca="1" si="19"/>
        <v>0.64661414183176869</v>
      </c>
      <c r="D282" s="327" t="e">
        <f t="shared" ca="1" si="20"/>
        <v>#VALUE!</v>
      </c>
    </row>
    <row r="283" spans="1:4">
      <c r="A283" s="328" t="str">
        <f t="shared" si="18"/>
        <v/>
      </c>
      <c r="B283" s="328"/>
      <c r="C283" s="327">
        <f t="shared" ca="1" si="19"/>
        <v>0.60710858646436316</v>
      </c>
      <c r="D283" s="327" t="e">
        <f t="shared" ca="1" si="20"/>
        <v>#VALUE!</v>
      </c>
    </row>
    <row r="284" spans="1:4">
      <c r="A284" s="328" t="str">
        <f t="shared" si="18"/>
        <v/>
      </c>
      <c r="B284" s="328"/>
      <c r="C284" s="327">
        <f t="shared" ca="1" si="19"/>
        <v>0.60765099055123817</v>
      </c>
      <c r="D284" s="327" t="e">
        <f t="shared" ca="1" si="20"/>
        <v>#VALUE!</v>
      </c>
    </row>
    <row r="285" spans="1:4">
      <c r="A285" s="328" t="str">
        <f t="shared" si="18"/>
        <v/>
      </c>
      <c r="B285" s="328"/>
      <c r="C285" s="327">
        <f t="shared" ca="1" si="19"/>
        <v>0.589514186131886</v>
      </c>
      <c r="D285" s="327" t="e">
        <f t="shared" ca="1" si="20"/>
        <v>#VALUE!</v>
      </c>
    </row>
    <row r="286" spans="1:4">
      <c r="A286" s="328" t="str">
        <f t="shared" si="18"/>
        <v/>
      </c>
      <c r="B286" s="328"/>
      <c r="C286" s="327">
        <f t="shared" ca="1" si="19"/>
        <v>0.64076915132518752</v>
      </c>
      <c r="D286" s="327" t="e">
        <f t="shared" ca="1" si="20"/>
        <v>#VALUE!</v>
      </c>
    </row>
    <row r="287" spans="1:4">
      <c r="A287" s="328" t="str">
        <f t="shared" si="18"/>
        <v/>
      </c>
      <c r="B287" s="328"/>
      <c r="C287" s="327">
        <f t="shared" ca="1" si="19"/>
        <v>0.56936408456522947</v>
      </c>
      <c r="D287" s="327" t="e">
        <f t="shared" ca="1" si="20"/>
        <v>#VALUE!</v>
      </c>
    </row>
    <row r="288" spans="1:4">
      <c r="A288" s="328" t="str">
        <f t="shared" si="18"/>
        <v/>
      </c>
      <c r="B288" s="328"/>
      <c r="C288" s="327">
        <f t="shared" ca="1" si="19"/>
        <v>0.56228897642501718</v>
      </c>
      <c r="D288" s="327" t="e">
        <f t="shared" ca="1" si="20"/>
        <v>#VALUE!</v>
      </c>
    </row>
    <row r="289" spans="1:4">
      <c r="A289" s="328" t="str">
        <f t="shared" si="18"/>
        <v/>
      </c>
      <c r="B289" s="328"/>
      <c r="C289" s="327">
        <f t="shared" ca="1" si="19"/>
        <v>0.3689893662872295</v>
      </c>
      <c r="D289" s="327" t="e">
        <f t="shared" ca="1" si="20"/>
        <v>#VALUE!</v>
      </c>
    </row>
    <row r="290" spans="1:4">
      <c r="A290" s="328" t="str">
        <f t="shared" si="18"/>
        <v/>
      </c>
      <c r="B290" s="328"/>
      <c r="C290" s="327">
        <f t="shared" ca="1" si="19"/>
        <v>0.46558370891079243</v>
      </c>
      <c r="D290" s="327" t="e">
        <f t="shared" ca="1" si="20"/>
        <v>#VALUE!</v>
      </c>
    </row>
    <row r="291" spans="1:4">
      <c r="A291" s="328" t="str">
        <f t="shared" si="18"/>
        <v/>
      </c>
      <c r="B291" s="328"/>
      <c r="C291" s="327">
        <f t="shared" ca="1" si="19"/>
        <v>0.30945968547523683</v>
      </c>
      <c r="D291" s="327" t="e">
        <f t="shared" ca="1" si="20"/>
        <v>#VALUE!</v>
      </c>
    </row>
    <row r="292" spans="1:4">
      <c r="A292" s="328" t="str">
        <f t="shared" si="18"/>
        <v/>
      </c>
      <c r="B292" s="328"/>
      <c r="C292" s="327">
        <f t="shared" ca="1" si="19"/>
        <v>0.23485237238363932</v>
      </c>
      <c r="D292" s="327" t="e">
        <f t="shared" ca="1" si="20"/>
        <v>#VALUE!</v>
      </c>
    </row>
    <row r="293" spans="1:4">
      <c r="A293" s="328" t="str">
        <f t="shared" si="18"/>
        <v/>
      </c>
      <c r="B293" s="328"/>
      <c r="C293" s="327">
        <f t="shared" ca="1" si="19"/>
        <v>0.24116700841980473</v>
      </c>
      <c r="D293" s="327" t="e">
        <f t="shared" ca="1" si="20"/>
        <v>#VALUE!</v>
      </c>
    </row>
    <row r="294" spans="1:4">
      <c r="A294" s="328" t="str">
        <f t="shared" ref="A294:A357" si="21">IF(ROW()-6&gt;$C$2,"",$C$3*(ROW()-6))</f>
        <v/>
      </c>
      <c r="B294" s="328"/>
      <c r="C294" s="327">
        <f t="shared" ca="1" si="19"/>
        <v>0.14861959852296358</v>
      </c>
      <c r="D294" s="327" t="e">
        <f t="shared" ca="1" si="20"/>
        <v>#VALUE!</v>
      </c>
    </row>
    <row r="295" spans="1:4">
      <c r="A295" s="328" t="str">
        <f t="shared" si="21"/>
        <v/>
      </c>
      <c r="B295" s="328"/>
      <c r="C295" s="327">
        <f t="shared" ca="1" si="19"/>
        <v>0.34351857680023934</v>
      </c>
      <c r="D295" s="327" t="e">
        <f t="shared" ca="1" si="20"/>
        <v>#VALUE!</v>
      </c>
    </row>
    <row r="296" spans="1:4">
      <c r="A296" s="328" t="str">
        <f t="shared" si="21"/>
        <v/>
      </c>
      <c r="B296" s="328"/>
      <c r="C296" s="327">
        <f t="shared" ca="1" si="19"/>
        <v>0.33995924557356905</v>
      </c>
      <c r="D296" s="327" t="e">
        <f t="shared" ca="1" si="20"/>
        <v>#VALUE!</v>
      </c>
    </row>
    <row r="297" spans="1:4">
      <c r="A297" s="328" t="str">
        <f t="shared" si="21"/>
        <v/>
      </c>
      <c r="B297" s="328"/>
      <c r="C297" s="327">
        <f t="shared" ca="1" si="19"/>
        <v>0.25379374123427112</v>
      </c>
      <c r="D297" s="327" t="e">
        <f t="shared" ca="1" si="20"/>
        <v>#VALUE!</v>
      </c>
    </row>
    <row r="298" spans="1:4">
      <c r="A298" s="328" t="str">
        <f t="shared" si="21"/>
        <v/>
      </c>
      <c r="B298" s="328"/>
      <c r="C298" s="327">
        <f t="shared" ca="1" si="19"/>
        <v>0.35910783785940187</v>
      </c>
      <c r="D298" s="327" t="e">
        <f t="shared" ca="1" si="20"/>
        <v>#VALUE!</v>
      </c>
    </row>
    <row r="299" spans="1:4">
      <c r="A299" s="328" t="str">
        <f t="shared" si="21"/>
        <v/>
      </c>
      <c r="B299" s="328"/>
      <c r="C299" s="327">
        <f t="shared" ca="1" si="19"/>
        <v>0.43405518835475843</v>
      </c>
      <c r="D299" s="327" t="e">
        <f t="shared" ca="1" si="20"/>
        <v>#VALUE!</v>
      </c>
    </row>
    <row r="300" spans="1:4">
      <c r="A300" s="328" t="str">
        <f t="shared" si="21"/>
        <v/>
      </c>
      <c r="B300" s="328"/>
      <c r="C300" s="327">
        <f t="shared" ca="1" si="19"/>
        <v>0.49420178373036</v>
      </c>
      <c r="D300" s="327" t="e">
        <f t="shared" ca="1" si="20"/>
        <v>#VALUE!</v>
      </c>
    </row>
    <row r="301" spans="1:4">
      <c r="A301" s="328" t="str">
        <f t="shared" si="21"/>
        <v/>
      </c>
      <c r="B301" s="328"/>
      <c r="C301" s="327">
        <f t="shared" ca="1" si="19"/>
        <v>0.51942358487312812</v>
      </c>
      <c r="D301" s="327" t="e">
        <f t="shared" ca="1" si="20"/>
        <v>#VALUE!</v>
      </c>
    </row>
    <row r="302" spans="1:4">
      <c r="A302" s="328" t="str">
        <f t="shared" si="21"/>
        <v/>
      </c>
      <c r="B302" s="328"/>
      <c r="C302" s="327">
        <f t="shared" ca="1" si="19"/>
        <v>0.57969992804863391</v>
      </c>
      <c r="D302" s="327" t="e">
        <f t="shared" ca="1" si="20"/>
        <v>#VALUE!</v>
      </c>
    </row>
    <row r="303" spans="1:4">
      <c r="A303" s="328" t="str">
        <f t="shared" si="21"/>
        <v/>
      </c>
      <c r="B303" s="328"/>
      <c r="C303" s="327">
        <f t="shared" ca="1" si="19"/>
        <v>0.47277252051754259</v>
      </c>
      <c r="D303" s="327" t="e">
        <f t="shared" ca="1" si="20"/>
        <v>#VALUE!</v>
      </c>
    </row>
    <row r="304" spans="1:4">
      <c r="A304" s="328" t="str">
        <f t="shared" si="21"/>
        <v/>
      </c>
      <c r="B304" s="328"/>
      <c r="C304" s="327">
        <f t="shared" ref="C304:C367" ca="1" si="22">C303+NORMINV(RAND(),0,1)*SQRT($C$3)</f>
        <v>0.60373220476366873</v>
      </c>
      <c r="D304" s="327" t="e">
        <f t="shared" ca="1" si="20"/>
        <v>#VALUE!</v>
      </c>
    </row>
    <row r="305" spans="1:4">
      <c r="A305" s="328" t="str">
        <f t="shared" si="21"/>
        <v/>
      </c>
      <c r="B305" s="328"/>
      <c r="C305" s="327">
        <f t="shared" ca="1" si="22"/>
        <v>0.66114995920218589</v>
      </c>
      <c r="D305" s="327" t="e">
        <f t="shared" ca="1" si="20"/>
        <v>#VALUE!</v>
      </c>
    </row>
    <row r="306" spans="1:4">
      <c r="A306" s="328" t="str">
        <f t="shared" si="21"/>
        <v/>
      </c>
      <c r="B306" s="328"/>
      <c r="C306" s="327">
        <f t="shared" ca="1" si="22"/>
        <v>0.52936779671368384</v>
      </c>
      <c r="D306" s="327" t="e">
        <f t="shared" ca="1" si="20"/>
        <v>#VALUE!</v>
      </c>
    </row>
    <row r="307" spans="1:4">
      <c r="A307" s="328" t="str">
        <f t="shared" si="21"/>
        <v/>
      </c>
      <c r="B307" s="328"/>
      <c r="C307" s="327">
        <f t="shared" ca="1" si="22"/>
        <v>0.49954199377335373</v>
      </c>
      <c r="D307" s="327" t="e">
        <f t="shared" ca="1" si="20"/>
        <v>#VALUE!</v>
      </c>
    </row>
    <row r="308" spans="1:4">
      <c r="A308" s="328" t="str">
        <f t="shared" si="21"/>
        <v/>
      </c>
      <c r="B308" s="328"/>
      <c r="C308" s="327">
        <f t="shared" ca="1" si="22"/>
        <v>0.44593491551392334</v>
      </c>
      <c r="D308" s="327" t="e">
        <f t="shared" ca="1" si="20"/>
        <v>#VALUE!</v>
      </c>
    </row>
    <row r="309" spans="1:4">
      <c r="A309" s="328" t="str">
        <f t="shared" si="21"/>
        <v/>
      </c>
      <c r="B309" s="328"/>
      <c r="C309" s="327">
        <f t="shared" ca="1" si="22"/>
        <v>0.39207932543244867</v>
      </c>
      <c r="D309" s="327" t="e">
        <f t="shared" ca="1" si="20"/>
        <v>#VALUE!</v>
      </c>
    </row>
    <row r="310" spans="1:4">
      <c r="A310" s="328" t="str">
        <f t="shared" si="21"/>
        <v/>
      </c>
      <c r="B310" s="328"/>
      <c r="C310" s="327">
        <f t="shared" ca="1" si="22"/>
        <v>0.38334070943913828</v>
      </c>
      <c r="D310" s="327" t="e">
        <f t="shared" ca="1" si="20"/>
        <v>#VALUE!</v>
      </c>
    </row>
    <row r="311" spans="1:4">
      <c r="A311" s="328" t="str">
        <f t="shared" si="21"/>
        <v/>
      </c>
      <c r="B311" s="328"/>
      <c r="C311" s="327">
        <f t="shared" ca="1" si="22"/>
        <v>0.40149727912802535</v>
      </c>
      <c r="D311" s="327" t="e">
        <f t="shared" ca="1" si="20"/>
        <v>#VALUE!</v>
      </c>
    </row>
    <row r="312" spans="1:4">
      <c r="A312" s="328" t="str">
        <f t="shared" si="21"/>
        <v/>
      </c>
      <c r="B312" s="328"/>
      <c r="C312" s="327">
        <f t="shared" ca="1" si="22"/>
        <v>0.49064026353541601</v>
      </c>
      <c r="D312" s="327" t="e">
        <f t="shared" ca="1" si="20"/>
        <v>#VALUE!</v>
      </c>
    </row>
    <row r="313" spans="1:4">
      <c r="A313" s="328" t="str">
        <f t="shared" si="21"/>
        <v/>
      </c>
      <c r="B313" s="328"/>
      <c r="C313" s="327">
        <f t="shared" ca="1" si="22"/>
        <v>0.50577958685627677</v>
      </c>
      <c r="D313" s="327" t="e">
        <f t="shared" ca="1" si="20"/>
        <v>#VALUE!</v>
      </c>
    </row>
    <row r="314" spans="1:4">
      <c r="A314" s="328" t="str">
        <f t="shared" si="21"/>
        <v/>
      </c>
      <c r="B314" s="328"/>
      <c r="C314" s="327">
        <f t="shared" ca="1" si="22"/>
        <v>0.59224088399751396</v>
      </c>
      <c r="D314" s="327" t="e">
        <f t="shared" ca="1" si="20"/>
        <v>#VALUE!</v>
      </c>
    </row>
    <row r="315" spans="1:4">
      <c r="A315" s="328" t="str">
        <f t="shared" si="21"/>
        <v/>
      </c>
      <c r="B315" s="328"/>
      <c r="C315" s="327">
        <f t="shared" ca="1" si="22"/>
        <v>0.66107415719422824</v>
      </c>
      <c r="D315" s="327" t="e">
        <f t="shared" ca="1" si="20"/>
        <v>#VALUE!</v>
      </c>
    </row>
    <row r="316" spans="1:4">
      <c r="A316" s="328" t="str">
        <f t="shared" si="21"/>
        <v/>
      </c>
      <c r="B316" s="328"/>
      <c r="C316" s="327">
        <f t="shared" ca="1" si="22"/>
        <v>0.61876231774691859</v>
      </c>
      <c r="D316" s="327" t="e">
        <f t="shared" ca="1" si="20"/>
        <v>#VALUE!</v>
      </c>
    </row>
    <row r="317" spans="1:4">
      <c r="A317" s="328" t="str">
        <f t="shared" si="21"/>
        <v/>
      </c>
      <c r="B317" s="328"/>
      <c r="C317" s="327">
        <f t="shared" ca="1" si="22"/>
        <v>0.52439492342937422</v>
      </c>
      <c r="D317" s="327" t="e">
        <f t="shared" ca="1" si="20"/>
        <v>#VALUE!</v>
      </c>
    </row>
    <row r="318" spans="1:4">
      <c r="A318" s="328" t="str">
        <f t="shared" si="21"/>
        <v/>
      </c>
      <c r="B318" s="328"/>
      <c r="C318" s="327">
        <f t="shared" ca="1" si="22"/>
        <v>0.52661283492275957</v>
      </c>
      <c r="D318" s="327" t="e">
        <f t="shared" ca="1" si="20"/>
        <v>#VALUE!</v>
      </c>
    </row>
    <row r="319" spans="1:4">
      <c r="A319" s="328" t="str">
        <f t="shared" si="21"/>
        <v/>
      </c>
      <c r="B319" s="328"/>
      <c r="C319" s="327">
        <f t="shared" ca="1" si="22"/>
        <v>0.54522537982910435</v>
      </c>
      <c r="D319" s="327" t="e">
        <f t="shared" ca="1" si="20"/>
        <v>#VALUE!</v>
      </c>
    </row>
    <row r="320" spans="1:4">
      <c r="A320" s="328" t="str">
        <f t="shared" si="21"/>
        <v/>
      </c>
      <c r="B320" s="328"/>
      <c r="C320" s="327">
        <f t="shared" ca="1" si="22"/>
        <v>0.56306111249620394</v>
      </c>
      <c r="D320" s="327" t="e">
        <f t="shared" ca="1" si="20"/>
        <v>#VALUE!</v>
      </c>
    </row>
    <row r="321" spans="1:4">
      <c r="A321" s="328" t="str">
        <f t="shared" si="21"/>
        <v/>
      </c>
      <c r="B321" s="328"/>
      <c r="C321" s="327">
        <f t="shared" ca="1" si="22"/>
        <v>0.63164779459663611</v>
      </c>
      <c r="D321" s="327" t="e">
        <f t="shared" ca="1" si="20"/>
        <v>#VALUE!</v>
      </c>
    </row>
    <row r="322" spans="1:4">
      <c r="A322" s="328" t="str">
        <f t="shared" si="21"/>
        <v/>
      </c>
      <c r="B322" s="328"/>
      <c r="C322" s="327">
        <f t="shared" ca="1" si="22"/>
        <v>0.64144556812410503</v>
      </c>
      <c r="D322" s="327" t="e">
        <f t="shared" ca="1" si="20"/>
        <v>#VALUE!</v>
      </c>
    </row>
    <row r="323" spans="1:4">
      <c r="A323" s="328" t="str">
        <f t="shared" si="21"/>
        <v/>
      </c>
      <c r="B323" s="328"/>
      <c r="C323" s="327">
        <f t="shared" ca="1" si="22"/>
        <v>0.58808949842128355</v>
      </c>
      <c r="D323" s="327" t="e">
        <f t="shared" ca="1" si="20"/>
        <v>#VALUE!</v>
      </c>
    </row>
    <row r="324" spans="1:4">
      <c r="A324" s="328" t="str">
        <f t="shared" si="21"/>
        <v/>
      </c>
      <c r="B324" s="328"/>
      <c r="C324" s="327">
        <f t="shared" ca="1" si="22"/>
        <v>0.57294473947478008</v>
      </c>
      <c r="D324" s="327" t="e">
        <f t="shared" ca="1" si="20"/>
        <v>#VALUE!</v>
      </c>
    </row>
    <row r="325" spans="1:4">
      <c r="A325" s="328" t="str">
        <f t="shared" si="21"/>
        <v/>
      </c>
      <c r="B325" s="328"/>
      <c r="C325" s="327">
        <f t="shared" ca="1" si="22"/>
        <v>0.67422867570768696</v>
      </c>
      <c r="D325" s="327" t="e">
        <f t="shared" ca="1" si="20"/>
        <v>#VALUE!</v>
      </c>
    </row>
    <row r="326" spans="1:4">
      <c r="A326" s="328" t="str">
        <f t="shared" si="21"/>
        <v/>
      </c>
      <c r="B326" s="328"/>
      <c r="C326" s="327">
        <f t="shared" ca="1" si="22"/>
        <v>0.55015063797966612</v>
      </c>
      <c r="D326" s="327" t="e">
        <f t="shared" ca="1" si="20"/>
        <v>#VALUE!</v>
      </c>
    </row>
    <row r="327" spans="1:4">
      <c r="A327" s="328" t="str">
        <f t="shared" si="21"/>
        <v/>
      </c>
      <c r="B327" s="328"/>
      <c r="C327" s="327">
        <f t="shared" ca="1" si="22"/>
        <v>0.55833059750795344</v>
      </c>
      <c r="D327" s="327" t="e">
        <f t="shared" ca="1" si="20"/>
        <v>#VALUE!</v>
      </c>
    </row>
    <row r="328" spans="1:4">
      <c r="A328" s="328" t="str">
        <f t="shared" si="21"/>
        <v/>
      </c>
      <c r="B328" s="328"/>
      <c r="C328" s="327">
        <f t="shared" ca="1" si="22"/>
        <v>0.66906292299796444</v>
      </c>
      <c r="D328" s="327" t="e">
        <f t="shared" ref="D328:D371" ca="1" si="23">$D$4*A328+C328</f>
        <v>#VALUE!</v>
      </c>
    </row>
    <row r="329" spans="1:4">
      <c r="A329" s="328" t="str">
        <f t="shared" si="21"/>
        <v/>
      </c>
      <c r="B329" s="328"/>
      <c r="C329" s="327">
        <f t="shared" ca="1" si="22"/>
        <v>0.62319927751535964</v>
      </c>
      <c r="D329" s="327" t="e">
        <f t="shared" ca="1" si="23"/>
        <v>#VALUE!</v>
      </c>
    </row>
    <row r="330" spans="1:4">
      <c r="A330" s="328" t="str">
        <f t="shared" si="21"/>
        <v/>
      </c>
      <c r="B330" s="328"/>
      <c r="C330" s="327">
        <f t="shared" ca="1" si="22"/>
        <v>0.61206124905558301</v>
      </c>
      <c r="D330" s="327" t="e">
        <f t="shared" ca="1" si="23"/>
        <v>#VALUE!</v>
      </c>
    </row>
    <row r="331" spans="1:4">
      <c r="A331" s="328" t="str">
        <f t="shared" si="21"/>
        <v/>
      </c>
      <c r="B331" s="328"/>
      <c r="C331" s="327">
        <f t="shared" ca="1" si="22"/>
        <v>0.53683786866111216</v>
      </c>
      <c r="D331" s="327" t="e">
        <f t="shared" ca="1" si="23"/>
        <v>#VALUE!</v>
      </c>
    </row>
    <row r="332" spans="1:4">
      <c r="A332" s="328" t="str">
        <f t="shared" si="21"/>
        <v/>
      </c>
      <c r="B332" s="328"/>
      <c r="C332" s="327">
        <f t="shared" ca="1" si="22"/>
        <v>0.45450820024838401</v>
      </c>
      <c r="D332" s="327" t="e">
        <f t="shared" ca="1" si="23"/>
        <v>#VALUE!</v>
      </c>
    </row>
    <row r="333" spans="1:4">
      <c r="A333" s="328" t="str">
        <f t="shared" si="21"/>
        <v/>
      </c>
      <c r="B333" s="328"/>
      <c r="C333" s="327">
        <f t="shared" ca="1" si="22"/>
        <v>0.40279077325765267</v>
      </c>
      <c r="D333" s="327" t="e">
        <f t="shared" ca="1" si="23"/>
        <v>#VALUE!</v>
      </c>
    </row>
    <row r="334" spans="1:4">
      <c r="A334" s="328" t="str">
        <f t="shared" si="21"/>
        <v/>
      </c>
      <c r="B334" s="328"/>
      <c r="C334" s="327">
        <f t="shared" ca="1" si="22"/>
        <v>0.30022878035651335</v>
      </c>
      <c r="D334" s="327" t="e">
        <f t="shared" ca="1" si="23"/>
        <v>#VALUE!</v>
      </c>
    </row>
    <row r="335" spans="1:4">
      <c r="A335" s="328" t="str">
        <f t="shared" si="21"/>
        <v/>
      </c>
      <c r="B335" s="328"/>
      <c r="C335" s="327">
        <f t="shared" ca="1" si="22"/>
        <v>0.3950137359450358</v>
      </c>
      <c r="D335" s="327" t="e">
        <f t="shared" ca="1" si="23"/>
        <v>#VALUE!</v>
      </c>
    </row>
    <row r="336" spans="1:4">
      <c r="A336" s="328" t="str">
        <f t="shared" si="21"/>
        <v/>
      </c>
      <c r="B336" s="328"/>
      <c r="C336" s="327">
        <f t="shared" ca="1" si="22"/>
        <v>0.47345901792337969</v>
      </c>
      <c r="D336" s="327" t="e">
        <f t="shared" ca="1" si="23"/>
        <v>#VALUE!</v>
      </c>
    </row>
    <row r="337" spans="1:4">
      <c r="A337" s="328" t="str">
        <f t="shared" si="21"/>
        <v/>
      </c>
      <c r="B337" s="328"/>
      <c r="C337" s="327">
        <f t="shared" ca="1" si="22"/>
        <v>0.40770975721884839</v>
      </c>
      <c r="D337" s="327" t="e">
        <f t="shared" ca="1" si="23"/>
        <v>#VALUE!</v>
      </c>
    </row>
    <row r="338" spans="1:4">
      <c r="A338" s="328" t="str">
        <f t="shared" si="21"/>
        <v/>
      </c>
      <c r="B338" s="328"/>
      <c r="C338" s="327">
        <f t="shared" ca="1" si="22"/>
        <v>0.41493244420793352</v>
      </c>
      <c r="D338" s="327" t="e">
        <f t="shared" ca="1" si="23"/>
        <v>#VALUE!</v>
      </c>
    </row>
    <row r="339" spans="1:4">
      <c r="A339" s="328" t="str">
        <f t="shared" si="21"/>
        <v/>
      </c>
      <c r="B339" s="328"/>
      <c r="C339" s="327">
        <f t="shared" ca="1" si="22"/>
        <v>0.51451678359807762</v>
      </c>
      <c r="D339" s="327" t="e">
        <f t="shared" ca="1" si="23"/>
        <v>#VALUE!</v>
      </c>
    </row>
    <row r="340" spans="1:4">
      <c r="A340" s="328" t="str">
        <f t="shared" si="21"/>
        <v/>
      </c>
      <c r="B340" s="328"/>
      <c r="C340" s="327">
        <f t="shared" ca="1" si="22"/>
        <v>0.55774483340019576</v>
      </c>
      <c r="D340" s="327" t="e">
        <f t="shared" ca="1" si="23"/>
        <v>#VALUE!</v>
      </c>
    </row>
    <row r="341" spans="1:4">
      <c r="A341" s="328" t="str">
        <f t="shared" si="21"/>
        <v/>
      </c>
      <c r="B341" s="328"/>
      <c r="C341" s="327">
        <f t="shared" ca="1" si="22"/>
        <v>0.72882879733971906</v>
      </c>
      <c r="D341" s="327" t="e">
        <f t="shared" ca="1" si="23"/>
        <v>#VALUE!</v>
      </c>
    </row>
    <row r="342" spans="1:4">
      <c r="A342" s="328" t="str">
        <f t="shared" si="21"/>
        <v/>
      </c>
      <c r="B342" s="328"/>
      <c r="C342" s="327">
        <f t="shared" ca="1" si="22"/>
        <v>0.72285732394708946</v>
      </c>
      <c r="D342" s="327" t="e">
        <f t="shared" ca="1" si="23"/>
        <v>#VALUE!</v>
      </c>
    </row>
    <row r="343" spans="1:4">
      <c r="A343" s="328" t="str">
        <f t="shared" si="21"/>
        <v/>
      </c>
      <c r="B343" s="328"/>
      <c r="C343" s="327">
        <f t="shared" ca="1" si="22"/>
        <v>0.71991896301751068</v>
      </c>
      <c r="D343" s="327" t="e">
        <f t="shared" ca="1" si="23"/>
        <v>#VALUE!</v>
      </c>
    </row>
    <row r="344" spans="1:4">
      <c r="A344" s="328" t="str">
        <f t="shared" si="21"/>
        <v/>
      </c>
      <c r="B344" s="328"/>
      <c r="C344" s="327">
        <f t="shared" ca="1" si="22"/>
        <v>0.68015988349944478</v>
      </c>
      <c r="D344" s="327" t="e">
        <f t="shared" ca="1" si="23"/>
        <v>#VALUE!</v>
      </c>
    </row>
    <row r="345" spans="1:4">
      <c r="A345" s="328" t="str">
        <f t="shared" si="21"/>
        <v/>
      </c>
      <c r="B345" s="328"/>
      <c r="C345" s="327">
        <f t="shared" ca="1" si="22"/>
        <v>0.78476655120482308</v>
      </c>
      <c r="D345" s="327" t="e">
        <f t="shared" ca="1" si="23"/>
        <v>#VALUE!</v>
      </c>
    </row>
    <row r="346" spans="1:4">
      <c r="A346" s="328" t="str">
        <f t="shared" si="21"/>
        <v/>
      </c>
      <c r="B346" s="328"/>
      <c r="C346" s="327">
        <f t="shared" ca="1" si="22"/>
        <v>0.81931983232654926</v>
      </c>
      <c r="D346" s="327" t="e">
        <f t="shared" ca="1" si="23"/>
        <v>#VALUE!</v>
      </c>
    </row>
    <row r="347" spans="1:4">
      <c r="A347" s="328" t="str">
        <f t="shared" si="21"/>
        <v/>
      </c>
      <c r="B347" s="328"/>
      <c r="C347" s="327">
        <f t="shared" ca="1" si="22"/>
        <v>0.83805931429469704</v>
      </c>
      <c r="D347" s="327" t="e">
        <f t="shared" ca="1" si="23"/>
        <v>#VALUE!</v>
      </c>
    </row>
    <row r="348" spans="1:4">
      <c r="A348" s="328" t="str">
        <f t="shared" si="21"/>
        <v/>
      </c>
      <c r="B348" s="328"/>
      <c r="C348" s="327">
        <f t="shared" ca="1" si="22"/>
        <v>0.79822422110334157</v>
      </c>
      <c r="D348" s="327" t="e">
        <f t="shared" ca="1" si="23"/>
        <v>#VALUE!</v>
      </c>
    </row>
    <row r="349" spans="1:4">
      <c r="A349" s="328" t="str">
        <f t="shared" si="21"/>
        <v/>
      </c>
      <c r="B349" s="328"/>
      <c r="C349" s="327">
        <f t="shared" ca="1" si="22"/>
        <v>0.75360044194861164</v>
      </c>
      <c r="D349" s="327" t="e">
        <f t="shared" ca="1" si="23"/>
        <v>#VALUE!</v>
      </c>
    </row>
    <row r="350" spans="1:4">
      <c r="A350" s="328" t="str">
        <f t="shared" si="21"/>
        <v/>
      </c>
      <c r="B350" s="328"/>
      <c r="C350" s="327">
        <f t="shared" ca="1" si="22"/>
        <v>0.95064518125859854</v>
      </c>
      <c r="D350" s="327" t="e">
        <f t="shared" ca="1" si="23"/>
        <v>#VALUE!</v>
      </c>
    </row>
    <row r="351" spans="1:4">
      <c r="A351" s="328" t="str">
        <f t="shared" si="21"/>
        <v/>
      </c>
      <c r="B351" s="328"/>
      <c r="C351" s="327">
        <f t="shared" ca="1" si="22"/>
        <v>1.0202685977905754</v>
      </c>
      <c r="D351" s="327" t="e">
        <f t="shared" ca="1" si="23"/>
        <v>#VALUE!</v>
      </c>
    </row>
    <row r="352" spans="1:4">
      <c r="A352" s="328" t="str">
        <f t="shared" si="21"/>
        <v/>
      </c>
      <c r="B352" s="328"/>
      <c r="C352" s="327">
        <f t="shared" ca="1" si="22"/>
        <v>0.97509549248044802</v>
      </c>
      <c r="D352" s="327" t="e">
        <f t="shared" ca="1" si="23"/>
        <v>#VALUE!</v>
      </c>
    </row>
    <row r="353" spans="1:4">
      <c r="A353" s="328" t="str">
        <f t="shared" si="21"/>
        <v/>
      </c>
      <c r="B353" s="328"/>
      <c r="C353" s="327">
        <f t="shared" ca="1" si="22"/>
        <v>0.91349184718818577</v>
      </c>
      <c r="D353" s="327" t="e">
        <f t="shared" ca="1" si="23"/>
        <v>#VALUE!</v>
      </c>
    </row>
    <row r="354" spans="1:4">
      <c r="A354" s="328" t="str">
        <f t="shared" si="21"/>
        <v/>
      </c>
      <c r="B354" s="328"/>
      <c r="C354" s="327">
        <f t="shared" ca="1" si="22"/>
        <v>0.8844460097677902</v>
      </c>
      <c r="D354" s="327" t="e">
        <f t="shared" ca="1" si="23"/>
        <v>#VALUE!</v>
      </c>
    </row>
    <row r="355" spans="1:4">
      <c r="A355" s="328" t="str">
        <f t="shared" si="21"/>
        <v/>
      </c>
      <c r="B355" s="328"/>
      <c r="C355" s="327">
        <f t="shared" ca="1" si="22"/>
        <v>0.82747861112373799</v>
      </c>
      <c r="D355" s="327" t="e">
        <f t="shared" ca="1" si="23"/>
        <v>#VALUE!</v>
      </c>
    </row>
    <row r="356" spans="1:4">
      <c r="A356" s="328" t="str">
        <f t="shared" si="21"/>
        <v/>
      </c>
      <c r="B356" s="328"/>
      <c r="C356" s="327">
        <f t="shared" ca="1" si="22"/>
        <v>0.77032032655283555</v>
      </c>
      <c r="D356" s="327" t="e">
        <f t="shared" ca="1" si="23"/>
        <v>#VALUE!</v>
      </c>
    </row>
    <row r="357" spans="1:4">
      <c r="A357" s="328" t="str">
        <f t="shared" si="21"/>
        <v/>
      </c>
      <c r="B357" s="328"/>
      <c r="C357" s="327">
        <f t="shared" ca="1" si="22"/>
        <v>0.86109586068952471</v>
      </c>
      <c r="D357" s="327" t="e">
        <f t="shared" ca="1" si="23"/>
        <v>#VALUE!</v>
      </c>
    </row>
    <row r="358" spans="1:4">
      <c r="A358" s="328" t="str">
        <f t="shared" ref="A358:A421" si="24">IF(ROW()-6&gt;$C$2,"",$C$3*(ROW()-6))</f>
        <v/>
      </c>
      <c r="B358" s="328"/>
      <c r="C358" s="327">
        <f t="shared" ca="1" si="22"/>
        <v>0.93741637298486735</v>
      </c>
      <c r="D358" s="327" t="e">
        <f t="shared" ca="1" si="23"/>
        <v>#VALUE!</v>
      </c>
    </row>
    <row r="359" spans="1:4">
      <c r="A359" s="328" t="str">
        <f t="shared" si="24"/>
        <v/>
      </c>
      <c r="B359" s="328"/>
      <c r="C359" s="327">
        <f t="shared" ca="1" si="22"/>
        <v>0.88295626657512805</v>
      </c>
      <c r="D359" s="327" t="e">
        <f t="shared" ca="1" si="23"/>
        <v>#VALUE!</v>
      </c>
    </row>
    <row r="360" spans="1:4">
      <c r="A360" s="328" t="str">
        <f t="shared" si="24"/>
        <v/>
      </c>
      <c r="B360" s="328"/>
      <c r="C360" s="327">
        <f t="shared" ca="1" si="22"/>
        <v>0.91924163434195372</v>
      </c>
      <c r="D360" s="327" t="e">
        <f t="shared" ca="1" si="23"/>
        <v>#VALUE!</v>
      </c>
    </row>
    <row r="361" spans="1:4">
      <c r="A361" s="328" t="str">
        <f t="shared" si="24"/>
        <v/>
      </c>
      <c r="B361" s="328"/>
      <c r="C361" s="327">
        <f t="shared" ca="1" si="22"/>
        <v>1.1255387474013656</v>
      </c>
      <c r="D361" s="327" t="e">
        <f t="shared" ca="1" si="23"/>
        <v>#VALUE!</v>
      </c>
    </row>
    <row r="362" spans="1:4">
      <c r="A362" s="328" t="str">
        <f t="shared" si="24"/>
        <v/>
      </c>
      <c r="B362" s="328"/>
      <c r="C362" s="327">
        <f t="shared" ca="1" si="22"/>
        <v>1.2197555302332086</v>
      </c>
      <c r="D362" s="327" t="e">
        <f t="shared" ca="1" si="23"/>
        <v>#VALUE!</v>
      </c>
    </row>
    <row r="363" spans="1:4">
      <c r="A363" s="328" t="str">
        <f t="shared" si="24"/>
        <v/>
      </c>
      <c r="B363" s="328"/>
      <c r="C363" s="327">
        <f t="shared" ca="1" si="22"/>
        <v>1.2579861723869177</v>
      </c>
      <c r="D363" s="327" t="e">
        <f t="shared" ca="1" si="23"/>
        <v>#VALUE!</v>
      </c>
    </row>
    <row r="364" spans="1:4">
      <c r="A364" s="328" t="str">
        <f t="shared" si="24"/>
        <v/>
      </c>
      <c r="B364" s="328"/>
      <c r="C364" s="327">
        <f t="shared" ca="1" si="22"/>
        <v>1.3438425543832559</v>
      </c>
      <c r="D364" s="327" t="e">
        <f t="shared" ca="1" si="23"/>
        <v>#VALUE!</v>
      </c>
    </row>
    <row r="365" spans="1:4">
      <c r="A365" s="328" t="str">
        <f t="shared" si="24"/>
        <v/>
      </c>
      <c r="B365" s="328"/>
      <c r="C365" s="327">
        <f t="shared" ca="1" si="22"/>
        <v>1.2881593204549004</v>
      </c>
      <c r="D365" s="327" t="e">
        <f t="shared" ca="1" si="23"/>
        <v>#VALUE!</v>
      </c>
    </row>
    <row r="366" spans="1:4">
      <c r="A366" s="328" t="str">
        <f t="shared" si="24"/>
        <v/>
      </c>
      <c r="B366" s="328"/>
      <c r="C366" s="327">
        <f t="shared" ca="1" si="22"/>
        <v>1.2931865140465759</v>
      </c>
      <c r="D366" s="327" t="e">
        <f t="shared" ca="1" si="23"/>
        <v>#VALUE!</v>
      </c>
    </row>
    <row r="367" spans="1:4">
      <c r="A367" s="328" t="str">
        <f t="shared" si="24"/>
        <v/>
      </c>
      <c r="B367" s="328"/>
      <c r="C367" s="327">
        <f t="shared" ca="1" si="22"/>
        <v>1.2739682260562357</v>
      </c>
      <c r="D367" s="327" t="e">
        <f t="shared" ca="1" si="23"/>
        <v>#VALUE!</v>
      </c>
    </row>
    <row r="368" spans="1:4">
      <c r="A368" s="328" t="str">
        <f t="shared" si="24"/>
        <v/>
      </c>
      <c r="B368" s="328"/>
      <c r="C368" s="327">
        <f t="shared" ref="C368:C413" ca="1" si="25">C367+NORMINV(RAND(),0,1)*SQRT($C$3)</f>
        <v>1.4186517862990204</v>
      </c>
      <c r="D368" s="327" t="e">
        <f t="shared" ca="1" si="23"/>
        <v>#VALUE!</v>
      </c>
    </row>
    <row r="369" spans="1:4">
      <c r="A369" s="328" t="str">
        <f t="shared" si="24"/>
        <v/>
      </c>
      <c r="B369" s="328"/>
      <c r="C369" s="327">
        <f t="shared" ca="1" si="25"/>
        <v>1.3767617781697363</v>
      </c>
      <c r="D369" s="327" t="e">
        <f t="shared" ca="1" si="23"/>
        <v>#VALUE!</v>
      </c>
    </row>
    <row r="370" spans="1:4">
      <c r="A370" s="328" t="str">
        <f t="shared" si="24"/>
        <v/>
      </c>
      <c r="B370" s="328"/>
      <c r="C370" s="327">
        <f t="shared" ca="1" si="25"/>
        <v>1.3287778177727692</v>
      </c>
      <c r="D370" s="327" t="e">
        <f t="shared" ca="1" si="23"/>
        <v>#VALUE!</v>
      </c>
    </row>
    <row r="371" spans="1:4">
      <c r="A371" s="328" t="str">
        <f t="shared" si="24"/>
        <v/>
      </c>
      <c r="B371" s="328"/>
      <c r="C371" s="327">
        <f t="shared" ca="1" si="25"/>
        <v>1.3931513732004028</v>
      </c>
      <c r="D371" s="327" t="e">
        <f t="shared" ca="1" si="23"/>
        <v>#VALUE!</v>
      </c>
    </row>
    <row r="372" spans="1:4">
      <c r="A372" s="328" t="str">
        <f t="shared" si="24"/>
        <v/>
      </c>
      <c r="B372" s="328"/>
      <c r="C372" s="327">
        <f t="shared" ca="1" si="25"/>
        <v>1.3204196123572804</v>
      </c>
    </row>
    <row r="373" spans="1:4">
      <c r="A373" s="328" t="str">
        <f t="shared" si="24"/>
        <v/>
      </c>
      <c r="B373" s="328"/>
      <c r="C373" s="327">
        <f t="shared" ca="1" si="25"/>
        <v>1.446965612832847</v>
      </c>
    </row>
    <row r="374" spans="1:4">
      <c r="A374" s="328" t="str">
        <f t="shared" si="24"/>
        <v/>
      </c>
      <c r="B374" s="328"/>
      <c r="C374" s="327">
        <f t="shared" ca="1" si="25"/>
        <v>1.5338629482408523</v>
      </c>
    </row>
    <row r="375" spans="1:4">
      <c r="A375" s="328" t="str">
        <f t="shared" si="24"/>
        <v/>
      </c>
      <c r="B375" s="328"/>
      <c r="C375" s="327">
        <f t="shared" ca="1" si="25"/>
        <v>1.561348181545116</v>
      </c>
    </row>
    <row r="376" spans="1:4">
      <c r="A376" s="328" t="str">
        <f t="shared" si="24"/>
        <v/>
      </c>
      <c r="B376" s="328"/>
      <c r="C376" s="327">
        <f t="shared" ca="1" si="25"/>
        <v>1.650598625878281</v>
      </c>
    </row>
    <row r="377" spans="1:4">
      <c r="A377" s="328" t="str">
        <f t="shared" si="24"/>
        <v/>
      </c>
      <c r="B377" s="328"/>
      <c r="C377" s="327">
        <f t="shared" ca="1" si="25"/>
        <v>1.5949843348582609</v>
      </c>
    </row>
    <row r="378" spans="1:4">
      <c r="A378" s="328" t="str">
        <f t="shared" si="24"/>
        <v/>
      </c>
      <c r="B378" s="328"/>
      <c r="C378" s="327">
        <f t="shared" ca="1" si="25"/>
        <v>1.5181325382797584</v>
      </c>
    </row>
    <row r="379" spans="1:4">
      <c r="A379" s="328" t="str">
        <f t="shared" si="24"/>
        <v/>
      </c>
      <c r="B379" s="328"/>
      <c r="C379" s="327">
        <f t="shared" ca="1" si="25"/>
        <v>1.6005356874501397</v>
      </c>
    </row>
    <row r="380" spans="1:4">
      <c r="A380" s="328" t="str">
        <f t="shared" si="24"/>
        <v/>
      </c>
      <c r="B380" s="328"/>
      <c r="C380" s="327">
        <f t="shared" ca="1" si="25"/>
        <v>1.6573593130873712</v>
      </c>
    </row>
    <row r="381" spans="1:4">
      <c r="A381" s="328" t="str">
        <f t="shared" si="24"/>
        <v/>
      </c>
      <c r="B381" s="328"/>
      <c r="C381" s="327">
        <f t="shared" ca="1" si="25"/>
        <v>1.7116561464513906</v>
      </c>
    </row>
    <row r="382" spans="1:4">
      <c r="A382" s="328" t="str">
        <f t="shared" si="24"/>
        <v/>
      </c>
      <c r="B382" s="328"/>
      <c r="C382" s="327">
        <f t="shared" ca="1" si="25"/>
        <v>1.7093367907376469</v>
      </c>
    </row>
    <row r="383" spans="1:4">
      <c r="A383" s="328" t="str">
        <f t="shared" si="24"/>
        <v/>
      </c>
      <c r="B383" s="328"/>
      <c r="C383" s="327">
        <f t="shared" ca="1" si="25"/>
        <v>1.6974711751296356</v>
      </c>
    </row>
    <row r="384" spans="1:4">
      <c r="A384" s="328" t="str">
        <f t="shared" si="24"/>
        <v/>
      </c>
      <c r="B384" s="328"/>
      <c r="C384" s="327">
        <f t="shared" ca="1" si="25"/>
        <v>1.6530473537765684</v>
      </c>
    </row>
    <row r="385" spans="1:3">
      <c r="A385" s="328" t="str">
        <f t="shared" si="24"/>
        <v/>
      </c>
      <c r="B385" s="328"/>
      <c r="C385" s="327">
        <f t="shared" ca="1" si="25"/>
        <v>1.7649497813554631</v>
      </c>
    </row>
    <row r="386" spans="1:3">
      <c r="A386" s="328" t="str">
        <f t="shared" si="24"/>
        <v/>
      </c>
      <c r="B386" s="328"/>
      <c r="C386" s="327">
        <f t="shared" ca="1" si="25"/>
        <v>1.7332713729927762</v>
      </c>
    </row>
    <row r="387" spans="1:3">
      <c r="A387" s="328" t="str">
        <f t="shared" si="24"/>
        <v/>
      </c>
      <c r="B387" s="328"/>
      <c r="C387" s="327">
        <f t="shared" ca="1" si="25"/>
        <v>1.6799998430958007</v>
      </c>
    </row>
    <row r="388" spans="1:3">
      <c r="A388" s="328" t="str">
        <f t="shared" si="24"/>
        <v/>
      </c>
      <c r="B388" s="328"/>
      <c r="C388" s="327">
        <f t="shared" ca="1" si="25"/>
        <v>1.7257417292004167</v>
      </c>
    </row>
    <row r="389" spans="1:3">
      <c r="A389" s="328" t="str">
        <f t="shared" si="24"/>
        <v/>
      </c>
      <c r="B389" s="328"/>
      <c r="C389" s="327">
        <f t="shared" ca="1" si="25"/>
        <v>1.8656783567470561</v>
      </c>
    </row>
    <row r="390" spans="1:3">
      <c r="A390" s="328" t="str">
        <f t="shared" si="24"/>
        <v/>
      </c>
      <c r="B390" s="328"/>
      <c r="C390" s="327">
        <f t="shared" ca="1" si="25"/>
        <v>1.916992139449774</v>
      </c>
    </row>
    <row r="391" spans="1:3">
      <c r="A391" s="328" t="str">
        <f t="shared" si="24"/>
        <v/>
      </c>
      <c r="B391" s="328"/>
      <c r="C391" s="327">
        <f t="shared" ca="1" si="25"/>
        <v>1.9978393131791425</v>
      </c>
    </row>
    <row r="392" spans="1:3">
      <c r="A392" s="328" t="str">
        <f t="shared" si="24"/>
        <v/>
      </c>
      <c r="B392" s="328"/>
      <c r="C392" s="327">
        <f t="shared" ca="1" si="25"/>
        <v>1.9973979985556689</v>
      </c>
    </row>
    <row r="393" spans="1:3">
      <c r="A393" s="328" t="str">
        <f t="shared" si="24"/>
        <v/>
      </c>
      <c r="B393" s="328"/>
      <c r="C393" s="327">
        <f t="shared" ca="1" si="25"/>
        <v>1.9408259616520722</v>
      </c>
    </row>
    <row r="394" spans="1:3">
      <c r="A394" s="328" t="str">
        <f t="shared" si="24"/>
        <v/>
      </c>
      <c r="B394" s="328"/>
      <c r="C394" s="327">
        <f t="shared" ca="1" si="25"/>
        <v>1.8813859898351684</v>
      </c>
    </row>
    <row r="395" spans="1:3">
      <c r="A395" s="328" t="str">
        <f t="shared" si="24"/>
        <v/>
      </c>
      <c r="B395" s="328"/>
      <c r="C395" s="327">
        <f t="shared" ca="1" si="25"/>
        <v>1.9928204806924337</v>
      </c>
    </row>
    <row r="396" spans="1:3">
      <c r="A396" s="328" t="str">
        <f t="shared" si="24"/>
        <v/>
      </c>
      <c r="B396" s="328"/>
      <c r="C396" s="327">
        <f t="shared" ca="1" si="25"/>
        <v>2.0240566398642406</v>
      </c>
    </row>
    <row r="397" spans="1:3">
      <c r="A397" s="328" t="str">
        <f t="shared" si="24"/>
        <v/>
      </c>
      <c r="B397" s="328"/>
      <c r="C397" s="327">
        <f t="shared" ca="1" si="25"/>
        <v>2.0427828591951656</v>
      </c>
    </row>
    <row r="398" spans="1:3">
      <c r="A398" s="328" t="str">
        <f t="shared" si="24"/>
        <v/>
      </c>
      <c r="B398" s="328"/>
      <c r="C398" s="327">
        <f t="shared" ca="1" si="25"/>
        <v>2.1279589818077844</v>
      </c>
    </row>
    <row r="399" spans="1:3">
      <c r="A399" s="328" t="str">
        <f t="shared" si="24"/>
        <v/>
      </c>
      <c r="B399" s="328"/>
      <c r="C399" s="327">
        <f t="shared" ca="1" si="25"/>
        <v>2.0213619044617559</v>
      </c>
    </row>
    <row r="400" spans="1:3">
      <c r="A400" s="328" t="str">
        <f t="shared" si="24"/>
        <v/>
      </c>
      <c r="B400" s="328"/>
      <c r="C400" s="327">
        <f t="shared" ca="1" si="25"/>
        <v>1.9163113247954591</v>
      </c>
    </row>
    <row r="401" spans="1:3">
      <c r="A401" s="328" t="str">
        <f t="shared" si="24"/>
        <v/>
      </c>
      <c r="B401" s="328"/>
      <c r="C401" s="327">
        <f t="shared" ca="1" si="25"/>
        <v>1.8974788766372763</v>
      </c>
    </row>
    <row r="402" spans="1:3">
      <c r="A402" s="328" t="str">
        <f t="shared" si="24"/>
        <v/>
      </c>
      <c r="B402" s="328"/>
      <c r="C402" s="327">
        <f t="shared" ca="1" si="25"/>
        <v>1.8367571521443162</v>
      </c>
    </row>
    <row r="403" spans="1:3">
      <c r="A403" s="328" t="str">
        <f t="shared" si="24"/>
        <v/>
      </c>
      <c r="B403" s="328"/>
      <c r="C403" s="327">
        <f t="shared" ca="1" si="25"/>
        <v>1.8570129018513177</v>
      </c>
    </row>
    <row r="404" spans="1:3">
      <c r="A404" s="328" t="str">
        <f t="shared" si="24"/>
        <v/>
      </c>
      <c r="B404" s="328"/>
      <c r="C404" s="327">
        <f t="shared" ca="1" si="25"/>
        <v>1.8923323623662787</v>
      </c>
    </row>
    <row r="405" spans="1:3">
      <c r="A405" s="328" t="str">
        <f t="shared" si="24"/>
        <v/>
      </c>
      <c r="B405" s="328"/>
      <c r="C405" s="327">
        <f t="shared" ca="1" si="25"/>
        <v>1.8170105802469276</v>
      </c>
    </row>
    <row r="406" spans="1:3">
      <c r="A406" s="328" t="str">
        <f t="shared" si="24"/>
        <v/>
      </c>
      <c r="B406" s="328"/>
      <c r="C406" s="327">
        <f t="shared" ca="1" si="25"/>
        <v>1.8578716184222523</v>
      </c>
    </row>
    <row r="407" spans="1:3">
      <c r="A407" s="328" t="str">
        <f t="shared" si="24"/>
        <v/>
      </c>
      <c r="B407" s="328"/>
      <c r="C407" s="327">
        <f t="shared" ca="1" si="25"/>
        <v>1.9801402985826575</v>
      </c>
    </row>
    <row r="408" spans="1:3">
      <c r="A408" s="328" t="str">
        <f t="shared" si="24"/>
        <v/>
      </c>
      <c r="B408" s="328"/>
      <c r="C408" s="327">
        <f t="shared" ca="1" si="25"/>
        <v>2.0084890402844757</v>
      </c>
    </row>
    <row r="409" spans="1:3">
      <c r="A409" s="328" t="str">
        <f t="shared" si="24"/>
        <v/>
      </c>
      <c r="B409" s="328"/>
      <c r="C409" s="327">
        <f t="shared" ca="1" si="25"/>
        <v>2.0177108405133968</v>
      </c>
    </row>
    <row r="410" spans="1:3">
      <c r="A410" s="328" t="str">
        <f t="shared" si="24"/>
        <v/>
      </c>
      <c r="B410" s="328"/>
      <c r="C410" s="327">
        <f t="shared" ca="1" si="25"/>
        <v>1.948315029598588</v>
      </c>
    </row>
    <row r="411" spans="1:3">
      <c r="A411" s="328" t="str">
        <f t="shared" si="24"/>
        <v/>
      </c>
      <c r="B411" s="328"/>
      <c r="C411" s="327">
        <f t="shared" ca="1" si="25"/>
        <v>2.0204068465351797</v>
      </c>
    </row>
    <row r="412" spans="1:3">
      <c r="A412" s="328" t="str">
        <f t="shared" si="24"/>
        <v/>
      </c>
      <c r="B412" s="328"/>
      <c r="C412" s="327">
        <f t="shared" ca="1" si="25"/>
        <v>1.9809504977377304</v>
      </c>
    </row>
    <row r="413" spans="1:3">
      <c r="A413" s="328" t="str">
        <f t="shared" si="24"/>
        <v/>
      </c>
      <c r="B413" s="328"/>
      <c r="C413" s="327">
        <f t="shared" ca="1" si="25"/>
        <v>1.9134403976768493</v>
      </c>
    </row>
    <row r="414" spans="1:3">
      <c r="A414" s="328" t="str">
        <f t="shared" si="24"/>
        <v/>
      </c>
      <c r="B414" s="328"/>
    </row>
    <row r="415" spans="1:3">
      <c r="A415" s="328" t="str">
        <f t="shared" si="24"/>
        <v/>
      </c>
      <c r="B415" s="328"/>
    </row>
    <row r="416" spans="1:3">
      <c r="A416" s="328" t="str">
        <f t="shared" si="24"/>
        <v/>
      </c>
      <c r="B416" s="328"/>
    </row>
    <row r="417" spans="1:2">
      <c r="A417" s="328" t="str">
        <f t="shared" si="24"/>
        <v/>
      </c>
      <c r="B417" s="328"/>
    </row>
    <row r="418" spans="1:2">
      <c r="A418" s="328" t="str">
        <f t="shared" si="24"/>
        <v/>
      </c>
      <c r="B418" s="328"/>
    </row>
    <row r="419" spans="1:2">
      <c r="A419" s="328" t="str">
        <f t="shared" si="24"/>
        <v/>
      </c>
      <c r="B419" s="328"/>
    </row>
    <row r="420" spans="1:2">
      <c r="A420" s="328" t="str">
        <f t="shared" si="24"/>
        <v/>
      </c>
      <c r="B420" s="328"/>
    </row>
    <row r="421" spans="1:2">
      <c r="A421" s="328" t="str">
        <f t="shared" si="24"/>
        <v/>
      </c>
      <c r="B421" s="328"/>
    </row>
    <row r="422" spans="1:2">
      <c r="A422" s="328" t="str">
        <f t="shared" ref="A422:A485" si="26">IF(ROW()-6&gt;$C$2,"",$C$3*(ROW()-6))</f>
        <v/>
      </c>
      <c r="B422" s="328"/>
    </row>
    <row r="423" spans="1:2">
      <c r="A423" s="328" t="str">
        <f t="shared" si="26"/>
        <v/>
      </c>
      <c r="B423" s="328"/>
    </row>
    <row r="424" spans="1:2">
      <c r="A424" s="328" t="str">
        <f t="shared" si="26"/>
        <v/>
      </c>
      <c r="B424" s="328"/>
    </row>
    <row r="425" spans="1:2">
      <c r="A425" s="328" t="str">
        <f t="shared" si="26"/>
        <v/>
      </c>
      <c r="B425" s="328"/>
    </row>
    <row r="426" spans="1:2">
      <c r="A426" s="328" t="str">
        <f t="shared" si="26"/>
        <v/>
      </c>
      <c r="B426" s="328"/>
    </row>
    <row r="427" spans="1:2">
      <c r="A427" s="328" t="str">
        <f t="shared" si="26"/>
        <v/>
      </c>
      <c r="B427" s="328"/>
    </row>
    <row r="428" spans="1:2">
      <c r="A428" s="328" t="str">
        <f t="shared" si="26"/>
        <v/>
      </c>
      <c r="B428" s="328"/>
    </row>
    <row r="429" spans="1:2">
      <c r="A429" s="328" t="str">
        <f t="shared" si="26"/>
        <v/>
      </c>
      <c r="B429" s="328"/>
    </row>
    <row r="430" spans="1:2">
      <c r="A430" s="328" t="str">
        <f t="shared" si="26"/>
        <v/>
      </c>
      <c r="B430" s="328"/>
    </row>
    <row r="431" spans="1:2">
      <c r="A431" s="328" t="str">
        <f t="shared" si="26"/>
        <v/>
      </c>
      <c r="B431" s="328"/>
    </row>
    <row r="432" spans="1:2">
      <c r="A432" s="328" t="str">
        <f t="shared" si="26"/>
        <v/>
      </c>
      <c r="B432" s="328"/>
    </row>
    <row r="433" spans="1:2">
      <c r="A433" s="328" t="str">
        <f t="shared" si="26"/>
        <v/>
      </c>
      <c r="B433" s="328"/>
    </row>
    <row r="434" spans="1:2">
      <c r="A434" s="328" t="str">
        <f t="shared" si="26"/>
        <v/>
      </c>
      <c r="B434" s="328"/>
    </row>
    <row r="435" spans="1:2">
      <c r="A435" s="328" t="str">
        <f t="shared" si="26"/>
        <v/>
      </c>
      <c r="B435" s="328"/>
    </row>
    <row r="436" spans="1:2">
      <c r="A436" s="328" t="str">
        <f t="shared" si="26"/>
        <v/>
      </c>
      <c r="B436" s="328"/>
    </row>
    <row r="437" spans="1:2">
      <c r="A437" s="328" t="str">
        <f t="shared" si="26"/>
        <v/>
      </c>
      <c r="B437" s="328"/>
    </row>
    <row r="438" spans="1:2">
      <c r="A438" s="328" t="str">
        <f t="shared" si="26"/>
        <v/>
      </c>
      <c r="B438" s="328"/>
    </row>
    <row r="439" spans="1:2">
      <c r="A439" s="328" t="str">
        <f t="shared" si="26"/>
        <v/>
      </c>
      <c r="B439" s="328"/>
    </row>
    <row r="440" spans="1:2">
      <c r="A440" s="328" t="str">
        <f t="shared" si="26"/>
        <v/>
      </c>
      <c r="B440" s="328"/>
    </row>
    <row r="441" spans="1:2">
      <c r="A441" s="328" t="str">
        <f t="shared" si="26"/>
        <v/>
      </c>
      <c r="B441" s="328"/>
    </row>
    <row r="442" spans="1:2">
      <c r="A442" s="328" t="str">
        <f t="shared" si="26"/>
        <v/>
      </c>
      <c r="B442" s="328"/>
    </row>
    <row r="443" spans="1:2">
      <c r="A443" s="328" t="str">
        <f t="shared" si="26"/>
        <v/>
      </c>
      <c r="B443" s="328"/>
    </row>
    <row r="444" spans="1:2">
      <c r="A444" s="328" t="str">
        <f t="shared" si="26"/>
        <v/>
      </c>
      <c r="B444" s="328"/>
    </row>
    <row r="445" spans="1:2">
      <c r="A445" s="328" t="str">
        <f t="shared" si="26"/>
        <v/>
      </c>
      <c r="B445" s="328"/>
    </row>
    <row r="446" spans="1:2">
      <c r="A446" s="328" t="str">
        <f t="shared" si="26"/>
        <v/>
      </c>
      <c r="B446" s="328"/>
    </row>
    <row r="447" spans="1:2">
      <c r="A447" s="328" t="str">
        <f t="shared" si="26"/>
        <v/>
      </c>
      <c r="B447" s="328"/>
    </row>
    <row r="448" spans="1:2">
      <c r="A448" s="328" t="str">
        <f t="shared" si="26"/>
        <v/>
      </c>
      <c r="B448" s="328"/>
    </row>
    <row r="449" spans="1:2">
      <c r="A449" s="328" t="str">
        <f t="shared" si="26"/>
        <v/>
      </c>
      <c r="B449" s="328"/>
    </row>
    <row r="450" spans="1:2">
      <c r="A450" s="328" t="str">
        <f t="shared" si="26"/>
        <v/>
      </c>
      <c r="B450" s="328"/>
    </row>
    <row r="451" spans="1:2">
      <c r="A451" s="328" t="str">
        <f t="shared" si="26"/>
        <v/>
      </c>
      <c r="B451" s="328"/>
    </row>
    <row r="452" spans="1:2">
      <c r="A452" s="328" t="str">
        <f t="shared" si="26"/>
        <v/>
      </c>
      <c r="B452" s="328"/>
    </row>
    <row r="453" spans="1:2">
      <c r="A453" s="328" t="str">
        <f t="shared" si="26"/>
        <v/>
      </c>
      <c r="B453" s="328"/>
    </row>
    <row r="454" spans="1:2">
      <c r="A454" s="328" t="str">
        <f t="shared" si="26"/>
        <v/>
      </c>
      <c r="B454" s="328"/>
    </row>
    <row r="455" spans="1:2">
      <c r="A455" s="328" t="str">
        <f t="shared" si="26"/>
        <v/>
      </c>
      <c r="B455" s="328"/>
    </row>
    <row r="456" spans="1:2">
      <c r="A456" s="328" t="str">
        <f t="shared" si="26"/>
        <v/>
      </c>
      <c r="B456" s="328"/>
    </row>
    <row r="457" spans="1:2">
      <c r="A457" s="328" t="str">
        <f t="shared" si="26"/>
        <v/>
      </c>
      <c r="B457" s="328"/>
    </row>
    <row r="458" spans="1:2">
      <c r="A458" s="328" t="str">
        <f t="shared" si="26"/>
        <v/>
      </c>
      <c r="B458" s="328"/>
    </row>
    <row r="459" spans="1:2">
      <c r="A459" s="328" t="str">
        <f t="shared" si="26"/>
        <v/>
      </c>
      <c r="B459" s="328"/>
    </row>
    <row r="460" spans="1:2">
      <c r="A460" s="328" t="str">
        <f t="shared" si="26"/>
        <v/>
      </c>
      <c r="B460" s="328"/>
    </row>
    <row r="461" spans="1:2">
      <c r="A461" s="328" t="str">
        <f t="shared" si="26"/>
        <v/>
      </c>
      <c r="B461" s="328"/>
    </row>
    <row r="462" spans="1:2">
      <c r="A462" s="328" t="str">
        <f t="shared" si="26"/>
        <v/>
      </c>
      <c r="B462" s="328"/>
    </row>
    <row r="463" spans="1:2">
      <c r="A463" s="328" t="str">
        <f t="shared" si="26"/>
        <v/>
      </c>
      <c r="B463" s="328"/>
    </row>
    <row r="464" spans="1:2">
      <c r="A464" s="328" t="str">
        <f t="shared" si="26"/>
        <v/>
      </c>
      <c r="B464" s="328"/>
    </row>
    <row r="465" spans="1:2">
      <c r="A465" s="328" t="str">
        <f t="shared" si="26"/>
        <v/>
      </c>
      <c r="B465" s="328"/>
    </row>
    <row r="466" spans="1:2">
      <c r="A466" s="328" t="str">
        <f t="shared" si="26"/>
        <v/>
      </c>
      <c r="B466" s="328"/>
    </row>
    <row r="467" spans="1:2">
      <c r="A467" s="328" t="str">
        <f t="shared" si="26"/>
        <v/>
      </c>
      <c r="B467" s="328"/>
    </row>
    <row r="468" spans="1:2">
      <c r="A468" s="328" t="str">
        <f t="shared" si="26"/>
        <v/>
      </c>
      <c r="B468" s="328"/>
    </row>
    <row r="469" spans="1:2">
      <c r="A469" s="328" t="str">
        <f t="shared" si="26"/>
        <v/>
      </c>
      <c r="B469" s="328"/>
    </row>
    <row r="470" spans="1:2">
      <c r="A470" s="328" t="str">
        <f t="shared" si="26"/>
        <v/>
      </c>
      <c r="B470" s="328"/>
    </row>
    <row r="471" spans="1:2">
      <c r="A471" s="328" t="str">
        <f t="shared" si="26"/>
        <v/>
      </c>
      <c r="B471" s="328"/>
    </row>
    <row r="472" spans="1:2">
      <c r="A472" s="328" t="str">
        <f t="shared" si="26"/>
        <v/>
      </c>
      <c r="B472" s="328"/>
    </row>
    <row r="473" spans="1:2">
      <c r="A473" s="328" t="str">
        <f t="shared" si="26"/>
        <v/>
      </c>
      <c r="B473" s="328"/>
    </row>
    <row r="474" spans="1:2">
      <c r="A474" s="328" t="str">
        <f t="shared" si="26"/>
        <v/>
      </c>
      <c r="B474" s="328"/>
    </row>
    <row r="475" spans="1:2">
      <c r="A475" s="328" t="str">
        <f t="shared" si="26"/>
        <v/>
      </c>
      <c r="B475" s="328"/>
    </row>
    <row r="476" spans="1:2">
      <c r="A476" s="328" t="str">
        <f t="shared" si="26"/>
        <v/>
      </c>
      <c r="B476" s="328"/>
    </row>
    <row r="477" spans="1:2">
      <c r="A477" s="328" t="str">
        <f t="shared" si="26"/>
        <v/>
      </c>
      <c r="B477" s="328"/>
    </row>
    <row r="478" spans="1:2">
      <c r="A478" s="328" t="str">
        <f t="shared" si="26"/>
        <v/>
      </c>
      <c r="B478" s="328"/>
    </row>
    <row r="479" spans="1:2">
      <c r="A479" s="328" t="str">
        <f t="shared" si="26"/>
        <v/>
      </c>
      <c r="B479" s="328"/>
    </row>
    <row r="480" spans="1:2">
      <c r="A480" s="328" t="str">
        <f t="shared" si="26"/>
        <v/>
      </c>
      <c r="B480" s="328"/>
    </row>
    <row r="481" spans="1:2">
      <c r="A481" s="328" t="str">
        <f t="shared" si="26"/>
        <v/>
      </c>
      <c r="B481" s="328"/>
    </row>
    <row r="482" spans="1:2">
      <c r="A482" s="328" t="str">
        <f t="shared" si="26"/>
        <v/>
      </c>
      <c r="B482" s="328"/>
    </row>
    <row r="483" spans="1:2">
      <c r="A483" s="328" t="str">
        <f t="shared" si="26"/>
        <v/>
      </c>
      <c r="B483" s="328"/>
    </row>
    <row r="484" spans="1:2">
      <c r="A484" s="328" t="str">
        <f t="shared" si="26"/>
        <v/>
      </c>
      <c r="B484" s="328"/>
    </row>
    <row r="485" spans="1:2">
      <c r="A485" s="328" t="str">
        <f t="shared" si="26"/>
        <v/>
      </c>
      <c r="B485" s="328"/>
    </row>
    <row r="486" spans="1:2">
      <c r="A486" s="328" t="str">
        <f t="shared" ref="A486:A549" si="27">IF(ROW()-6&gt;$C$2,"",$C$3*(ROW()-6))</f>
        <v/>
      </c>
      <c r="B486" s="328"/>
    </row>
    <row r="487" spans="1:2">
      <c r="A487" s="328" t="str">
        <f t="shared" si="27"/>
        <v/>
      </c>
      <c r="B487" s="328"/>
    </row>
    <row r="488" spans="1:2">
      <c r="A488" s="328" t="str">
        <f t="shared" si="27"/>
        <v/>
      </c>
      <c r="B488" s="328"/>
    </row>
    <row r="489" spans="1:2">
      <c r="A489" s="328" t="str">
        <f t="shared" si="27"/>
        <v/>
      </c>
      <c r="B489" s="328"/>
    </row>
    <row r="490" spans="1:2">
      <c r="A490" s="328" t="str">
        <f t="shared" si="27"/>
        <v/>
      </c>
      <c r="B490" s="328"/>
    </row>
    <row r="491" spans="1:2">
      <c r="A491" s="328" t="str">
        <f t="shared" si="27"/>
        <v/>
      </c>
      <c r="B491" s="328"/>
    </row>
    <row r="492" spans="1:2">
      <c r="A492" s="328" t="str">
        <f t="shared" si="27"/>
        <v/>
      </c>
      <c r="B492" s="328"/>
    </row>
    <row r="493" spans="1:2">
      <c r="A493" s="328" t="str">
        <f t="shared" si="27"/>
        <v/>
      </c>
      <c r="B493" s="328"/>
    </row>
    <row r="494" spans="1:2">
      <c r="A494" s="328" t="str">
        <f t="shared" si="27"/>
        <v/>
      </c>
      <c r="B494" s="328"/>
    </row>
    <row r="495" spans="1:2">
      <c r="A495" s="328" t="str">
        <f t="shared" si="27"/>
        <v/>
      </c>
      <c r="B495" s="328"/>
    </row>
    <row r="496" spans="1:2">
      <c r="A496" s="328" t="str">
        <f t="shared" si="27"/>
        <v/>
      </c>
      <c r="B496" s="328"/>
    </row>
    <row r="497" spans="1:2">
      <c r="A497" s="328" t="str">
        <f t="shared" si="27"/>
        <v/>
      </c>
      <c r="B497" s="328"/>
    </row>
    <row r="498" spans="1:2">
      <c r="A498" s="328" t="str">
        <f t="shared" si="27"/>
        <v/>
      </c>
      <c r="B498" s="328"/>
    </row>
    <row r="499" spans="1:2">
      <c r="A499" s="328" t="str">
        <f t="shared" si="27"/>
        <v/>
      </c>
      <c r="B499" s="328"/>
    </row>
    <row r="500" spans="1:2">
      <c r="A500" s="328" t="str">
        <f t="shared" si="27"/>
        <v/>
      </c>
      <c r="B500" s="328"/>
    </row>
    <row r="501" spans="1:2">
      <c r="A501" s="328" t="str">
        <f t="shared" si="27"/>
        <v/>
      </c>
      <c r="B501" s="328"/>
    </row>
    <row r="502" spans="1:2">
      <c r="A502" s="328" t="str">
        <f t="shared" si="27"/>
        <v/>
      </c>
      <c r="B502" s="328"/>
    </row>
    <row r="503" spans="1:2">
      <c r="A503" s="328" t="str">
        <f t="shared" si="27"/>
        <v/>
      </c>
      <c r="B503" s="328"/>
    </row>
    <row r="504" spans="1:2">
      <c r="A504" s="328" t="str">
        <f t="shared" si="27"/>
        <v/>
      </c>
      <c r="B504" s="328"/>
    </row>
    <row r="505" spans="1:2">
      <c r="A505" s="328" t="str">
        <f t="shared" si="27"/>
        <v/>
      </c>
      <c r="B505" s="328"/>
    </row>
    <row r="506" spans="1:2">
      <c r="A506" s="328" t="str">
        <f t="shared" si="27"/>
        <v/>
      </c>
      <c r="B506" s="328"/>
    </row>
    <row r="507" spans="1:2">
      <c r="A507" s="328" t="str">
        <f t="shared" si="27"/>
        <v/>
      </c>
      <c r="B507" s="328"/>
    </row>
    <row r="508" spans="1:2">
      <c r="A508" s="328" t="str">
        <f t="shared" si="27"/>
        <v/>
      </c>
      <c r="B508" s="328"/>
    </row>
    <row r="509" spans="1:2">
      <c r="A509" s="328" t="str">
        <f t="shared" si="27"/>
        <v/>
      </c>
      <c r="B509" s="328"/>
    </row>
    <row r="510" spans="1:2">
      <c r="A510" s="328" t="str">
        <f t="shared" si="27"/>
        <v/>
      </c>
      <c r="B510" s="328"/>
    </row>
    <row r="511" spans="1:2">
      <c r="A511" s="328" t="str">
        <f t="shared" si="27"/>
        <v/>
      </c>
      <c r="B511" s="328"/>
    </row>
    <row r="512" spans="1:2">
      <c r="A512" s="328" t="str">
        <f t="shared" si="27"/>
        <v/>
      </c>
      <c r="B512" s="328"/>
    </row>
    <row r="513" spans="1:2">
      <c r="A513" s="328" t="str">
        <f t="shared" si="27"/>
        <v/>
      </c>
      <c r="B513" s="328"/>
    </row>
    <row r="514" spans="1:2">
      <c r="A514" s="328" t="str">
        <f t="shared" si="27"/>
        <v/>
      </c>
      <c r="B514" s="328"/>
    </row>
    <row r="515" spans="1:2">
      <c r="A515" s="328" t="str">
        <f t="shared" si="27"/>
        <v/>
      </c>
      <c r="B515" s="328"/>
    </row>
    <row r="516" spans="1:2">
      <c r="A516" s="328" t="str">
        <f t="shared" si="27"/>
        <v/>
      </c>
      <c r="B516" s="328"/>
    </row>
    <row r="517" spans="1:2">
      <c r="A517" s="328" t="str">
        <f t="shared" si="27"/>
        <v/>
      </c>
      <c r="B517" s="328"/>
    </row>
    <row r="518" spans="1:2">
      <c r="A518" s="328" t="str">
        <f t="shared" si="27"/>
        <v/>
      </c>
      <c r="B518" s="328"/>
    </row>
    <row r="519" spans="1:2">
      <c r="A519" s="328" t="str">
        <f t="shared" si="27"/>
        <v/>
      </c>
      <c r="B519" s="328"/>
    </row>
    <row r="520" spans="1:2">
      <c r="A520" s="328" t="str">
        <f t="shared" si="27"/>
        <v/>
      </c>
      <c r="B520" s="328"/>
    </row>
    <row r="521" spans="1:2">
      <c r="A521" s="328" t="str">
        <f t="shared" si="27"/>
        <v/>
      </c>
      <c r="B521" s="328"/>
    </row>
    <row r="522" spans="1:2">
      <c r="A522" s="328" t="str">
        <f t="shared" si="27"/>
        <v/>
      </c>
      <c r="B522" s="328"/>
    </row>
    <row r="523" spans="1:2">
      <c r="A523" s="328" t="str">
        <f t="shared" si="27"/>
        <v/>
      </c>
      <c r="B523" s="328"/>
    </row>
    <row r="524" spans="1:2">
      <c r="A524" s="328" t="str">
        <f t="shared" si="27"/>
        <v/>
      </c>
      <c r="B524" s="328"/>
    </row>
    <row r="525" spans="1:2">
      <c r="A525" s="328" t="str">
        <f t="shared" si="27"/>
        <v/>
      </c>
      <c r="B525" s="328"/>
    </row>
    <row r="526" spans="1:2">
      <c r="A526" s="328" t="str">
        <f t="shared" si="27"/>
        <v/>
      </c>
      <c r="B526" s="328"/>
    </row>
    <row r="527" spans="1:2">
      <c r="A527" s="328" t="str">
        <f t="shared" si="27"/>
        <v/>
      </c>
      <c r="B527" s="328"/>
    </row>
    <row r="528" spans="1:2">
      <c r="A528" s="328" t="str">
        <f t="shared" si="27"/>
        <v/>
      </c>
      <c r="B528" s="328"/>
    </row>
    <row r="529" spans="1:2">
      <c r="A529" s="328" t="str">
        <f t="shared" si="27"/>
        <v/>
      </c>
      <c r="B529" s="328"/>
    </row>
    <row r="530" spans="1:2">
      <c r="A530" s="328" t="str">
        <f t="shared" si="27"/>
        <v/>
      </c>
      <c r="B530" s="328"/>
    </row>
    <row r="531" spans="1:2">
      <c r="A531" s="328" t="str">
        <f t="shared" si="27"/>
        <v/>
      </c>
      <c r="B531" s="328"/>
    </row>
    <row r="532" spans="1:2">
      <c r="A532" s="328" t="str">
        <f t="shared" si="27"/>
        <v/>
      </c>
      <c r="B532" s="328"/>
    </row>
    <row r="533" spans="1:2">
      <c r="A533" s="328" t="str">
        <f t="shared" si="27"/>
        <v/>
      </c>
      <c r="B533" s="328"/>
    </row>
    <row r="534" spans="1:2">
      <c r="A534" s="328" t="str">
        <f t="shared" si="27"/>
        <v/>
      </c>
      <c r="B534" s="328"/>
    </row>
    <row r="535" spans="1:2">
      <c r="A535" s="328" t="str">
        <f t="shared" si="27"/>
        <v/>
      </c>
      <c r="B535" s="328"/>
    </row>
    <row r="536" spans="1:2">
      <c r="A536" s="328" t="str">
        <f t="shared" si="27"/>
        <v/>
      </c>
      <c r="B536" s="328"/>
    </row>
    <row r="537" spans="1:2">
      <c r="A537" s="328" t="str">
        <f t="shared" si="27"/>
        <v/>
      </c>
      <c r="B537" s="328"/>
    </row>
    <row r="538" spans="1:2">
      <c r="A538" s="328" t="str">
        <f t="shared" si="27"/>
        <v/>
      </c>
      <c r="B538" s="328"/>
    </row>
    <row r="539" spans="1:2">
      <c r="A539" s="328" t="str">
        <f t="shared" si="27"/>
        <v/>
      </c>
      <c r="B539" s="328"/>
    </row>
    <row r="540" spans="1:2">
      <c r="A540" s="328" t="str">
        <f t="shared" si="27"/>
        <v/>
      </c>
      <c r="B540" s="328"/>
    </row>
    <row r="541" spans="1:2">
      <c r="A541" s="328" t="str">
        <f t="shared" si="27"/>
        <v/>
      </c>
      <c r="B541" s="328"/>
    </row>
    <row r="542" spans="1:2">
      <c r="A542" s="328" t="str">
        <f t="shared" si="27"/>
        <v/>
      </c>
      <c r="B542" s="328"/>
    </row>
    <row r="543" spans="1:2">
      <c r="A543" s="328" t="str">
        <f t="shared" si="27"/>
        <v/>
      </c>
      <c r="B543" s="328"/>
    </row>
    <row r="544" spans="1:2">
      <c r="A544" s="328" t="str">
        <f t="shared" si="27"/>
        <v/>
      </c>
      <c r="B544" s="328"/>
    </row>
    <row r="545" spans="1:2">
      <c r="A545" s="328" t="str">
        <f t="shared" si="27"/>
        <v/>
      </c>
      <c r="B545" s="328"/>
    </row>
    <row r="546" spans="1:2">
      <c r="A546" s="328" t="str">
        <f t="shared" si="27"/>
        <v/>
      </c>
      <c r="B546" s="328"/>
    </row>
    <row r="547" spans="1:2">
      <c r="A547" s="328" t="str">
        <f t="shared" si="27"/>
        <v/>
      </c>
      <c r="B547" s="328"/>
    </row>
    <row r="548" spans="1:2">
      <c r="A548" s="328" t="str">
        <f t="shared" si="27"/>
        <v/>
      </c>
      <c r="B548" s="328"/>
    </row>
    <row r="549" spans="1:2">
      <c r="A549" s="328" t="str">
        <f t="shared" si="27"/>
        <v/>
      </c>
      <c r="B549" s="328"/>
    </row>
    <row r="550" spans="1:2">
      <c r="A550" s="328" t="str">
        <f t="shared" ref="A550:A613" si="28">IF(ROW()-6&gt;$C$2,"",$C$3*(ROW()-6))</f>
        <v/>
      </c>
      <c r="B550" s="328"/>
    </row>
    <row r="551" spans="1:2">
      <c r="A551" s="328" t="str">
        <f t="shared" si="28"/>
        <v/>
      </c>
      <c r="B551" s="328"/>
    </row>
    <row r="552" spans="1:2">
      <c r="A552" s="328" t="str">
        <f t="shared" si="28"/>
        <v/>
      </c>
      <c r="B552" s="328"/>
    </row>
    <row r="553" spans="1:2">
      <c r="A553" s="328" t="str">
        <f t="shared" si="28"/>
        <v/>
      </c>
      <c r="B553" s="328"/>
    </row>
    <row r="554" spans="1:2">
      <c r="A554" s="328" t="str">
        <f t="shared" si="28"/>
        <v/>
      </c>
      <c r="B554" s="328"/>
    </row>
    <row r="555" spans="1:2">
      <c r="A555" s="328" t="str">
        <f t="shared" si="28"/>
        <v/>
      </c>
      <c r="B555" s="328"/>
    </row>
    <row r="556" spans="1:2">
      <c r="A556" s="328" t="str">
        <f t="shared" si="28"/>
        <v/>
      </c>
      <c r="B556" s="328"/>
    </row>
    <row r="557" spans="1:2">
      <c r="A557" s="328" t="str">
        <f t="shared" si="28"/>
        <v/>
      </c>
      <c r="B557" s="328"/>
    </row>
    <row r="558" spans="1:2">
      <c r="A558" s="328" t="str">
        <f t="shared" si="28"/>
        <v/>
      </c>
      <c r="B558" s="328"/>
    </row>
    <row r="559" spans="1:2">
      <c r="A559" s="328" t="str">
        <f t="shared" si="28"/>
        <v/>
      </c>
      <c r="B559" s="328"/>
    </row>
    <row r="560" spans="1:2">
      <c r="A560" s="328" t="str">
        <f t="shared" si="28"/>
        <v/>
      </c>
      <c r="B560" s="328"/>
    </row>
    <row r="561" spans="1:2">
      <c r="A561" s="328" t="str">
        <f t="shared" si="28"/>
        <v/>
      </c>
      <c r="B561" s="328"/>
    </row>
    <row r="562" spans="1:2">
      <c r="A562" s="328" t="str">
        <f t="shared" si="28"/>
        <v/>
      </c>
      <c r="B562" s="328"/>
    </row>
    <row r="563" spans="1:2">
      <c r="A563" s="328" t="str">
        <f t="shared" si="28"/>
        <v/>
      </c>
      <c r="B563" s="328"/>
    </row>
    <row r="564" spans="1:2">
      <c r="A564" s="328" t="str">
        <f t="shared" si="28"/>
        <v/>
      </c>
      <c r="B564" s="328"/>
    </row>
    <row r="565" spans="1:2">
      <c r="A565" s="328" t="str">
        <f t="shared" si="28"/>
        <v/>
      </c>
      <c r="B565" s="328"/>
    </row>
    <row r="566" spans="1:2">
      <c r="A566" s="328" t="str">
        <f t="shared" si="28"/>
        <v/>
      </c>
      <c r="B566" s="328"/>
    </row>
    <row r="567" spans="1:2">
      <c r="A567" s="328" t="str">
        <f t="shared" si="28"/>
        <v/>
      </c>
      <c r="B567" s="328"/>
    </row>
    <row r="568" spans="1:2">
      <c r="A568" s="328" t="str">
        <f t="shared" si="28"/>
        <v/>
      </c>
      <c r="B568" s="328"/>
    </row>
    <row r="569" spans="1:2">
      <c r="A569" s="328" t="str">
        <f t="shared" si="28"/>
        <v/>
      </c>
      <c r="B569" s="328"/>
    </row>
    <row r="570" spans="1:2">
      <c r="A570" s="328" t="str">
        <f t="shared" si="28"/>
        <v/>
      </c>
      <c r="B570" s="328"/>
    </row>
    <row r="571" spans="1:2">
      <c r="A571" s="328" t="str">
        <f t="shared" si="28"/>
        <v/>
      </c>
      <c r="B571" s="328"/>
    </row>
    <row r="572" spans="1:2">
      <c r="A572" s="328" t="str">
        <f t="shared" si="28"/>
        <v/>
      </c>
      <c r="B572" s="328"/>
    </row>
    <row r="573" spans="1:2">
      <c r="A573" s="328" t="str">
        <f t="shared" si="28"/>
        <v/>
      </c>
      <c r="B573" s="328"/>
    </row>
    <row r="574" spans="1:2">
      <c r="A574" s="328" t="str">
        <f t="shared" si="28"/>
        <v/>
      </c>
      <c r="B574" s="328"/>
    </row>
    <row r="575" spans="1:2">
      <c r="A575" s="328" t="str">
        <f t="shared" si="28"/>
        <v/>
      </c>
      <c r="B575" s="328"/>
    </row>
    <row r="576" spans="1:2">
      <c r="A576" s="328" t="str">
        <f t="shared" si="28"/>
        <v/>
      </c>
      <c r="B576" s="328"/>
    </row>
    <row r="577" spans="1:2">
      <c r="A577" s="328" t="str">
        <f t="shared" si="28"/>
        <v/>
      </c>
      <c r="B577" s="328"/>
    </row>
    <row r="578" spans="1:2">
      <c r="A578" s="328" t="str">
        <f t="shared" si="28"/>
        <v/>
      </c>
      <c r="B578" s="328"/>
    </row>
    <row r="579" spans="1:2">
      <c r="A579" s="328" t="str">
        <f t="shared" si="28"/>
        <v/>
      </c>
      <c r="B579" s="328"/>
    </row>
    <row r="580" spans="1:2">
      <c r="A580" s="328" t="str">
        <f t="shared" si="28"/>
        <v/>
      </c>
      <c r="B580" s="328"/>
    </row>
    <row r="581" spans="1:2">
      <c r="A581" s="328" t="str">
        <f t="shared" si="28"/>
        <v/>
      </c>
      <c r="B581" s="328"/>
    </row>
    <row r="582" spans="1:2">
      <c r="A582" s="328" t="str">
        <f t="shared" si="28"/>
        <v/>
      </c>
      <c r="B582" s="328"/>
    </row>
    <row r="583" spans="1:2">
      <c r="A583" s="328" t="str">
        <f t="shared" si="28"/>
        <v/>
      </c>
      <c r="B583" s="328"/>
    </row>
    <row r="584" spans="1:2">
      <c r="A584" s="328" t="str">
        <f t="shared" si="28"/>
        <v/>
      </c>
      <c r="B584" s="328"/>
    </row>
    <row r="585" spans="1:2">
      <c r="A585" s="328" t="str">
        <f t="shared" si="28"/>
        <v/>
      </c>
      <c r="B585" s="328"/>
    </row>
    <row r="586" spans="1:2">
      <c r="A586" s="328" t="str">
        <f t="shared" si="28"/>
        <v/>
      </c>
      <c r="B586" s="328"/>
    </row>
    <row r="587" spans="1:2">
      <c r="A587" s="328" t="str">
        <f t="shared" si="28"/>
        <v/>
      </c>
      <c r="B587" s="328"/>
    </row>
    <row r="588" spans="1:2">
      <c r="A588" s="328" t="str">
        <f t="shared" si="28"/>
        <v/>
      </c>
      <c r="B588" s="328"/>
    </row>
    <row r="589" spans="1:2">
      <c r="A589" s="328" t="str">
        <f t="shared" si="28"/>
        <v/>
      </c>
      <c r="B589" s="328"/>
    </row>
    <row r="590" spans="1:2">
      <c r="A590" s="328" t="str">
        <f t="shared" si="28"/>
        <v/>
      </c>
      <c r="B590" s="328"/>
    </row>
    <row r="591" spans="1:2">
      <c r="A591" s="328" t="str">
        <f t="shared" si="28"/>
        <v/>
      </c>
      <c r="B591" s="328"/>
    </row>
    <row r="592" spans="1:2">
      <c r="A592" s="328" t="str">
        <f t="shared" si="28"/>
        <v/>
      </c>
      <c r="B592" s="328"/>
    </row>
    <row r="593" spans="1:2">
      <c r="A593" s="328" t="str">
        <f t="shared" si="28"/>
        <v/>
      </c>
      <c r="B593" s="328"/>
    </row>
    <row r="594" spans="1:2">
      <c r="A594" s="328" t="str">
        <f t="shared" si="28"/>
        <v/>
      </c>
      <c r="B594" s="328"/>
    </row>
    <row r="595" spans="1:2">
      <c r="A595" s="328" t="str">
        <f t="shared" si="28"/>
        <v/>
      </c>
      <c r="B595" s="328"/>
    </row>
    <row r="596" spans="1:2">
      <c r="A596" s="328" t="str">
        <f t="shared" si="28"/>
        <v/>
      </c>
      <c r="B596" s="328"/>
    </row>
    <row r="597" spans="1:2">
      <c r="A597" s="328" t="str">
        <f t="shared" si="28"/>
        <v/>
      </c>
      <c r="B597" s="328"/>
    </row>
    <row r="598" spans="1:2">
      <c r="A598" s="328" t="str">
        <f t="shared" si="28"/>
        <v/>
      </c>
      <c r="B598" s="328"/>
    </row>
    <row r="599" spans="1:2">
      <c r="A599" s="328" t="str">
        <f t="shared" si="28"/>
        <v/>
      </c>
      <c r="B599" s="328"/>
    </row>
    <row r="600" spans="1:2">
      <c r="A600" s="328" t="str">
        <f t="shared" si="28"/>
        <v/>
      </c>
      <c r="B600" s="328"/>
    </row>
    <row r="601" spans="1:2">
      <c r="A601" s="328" t="str">
        <f t="shared" si="28"/>
        <v/>
      </c>
      <c r="B601" s="328"/>
    </row>
    <row r="602" spans="1:2">
      <c r="A602" s="328" t="str">
        <f t="shared" si="28"/>
        <v/>
      </c>
      <c r="B602" s="328"/>
    </row>
    <row r="603" spans="1:2">
      <c r="A603" s="328" t="str">
        <f t="shared" si="28"/>
        <v/>
      </c>
      <c r="B603" s="328"/>
    </row>
    <row r="604" spans="1:2">
      <c r="A604" s="328" t="str">
        <f t="shared" si="28"/>
        <v/>
      </c>
      <c r="B604" s="328"/>
    </row>
    <row r="605" spans="1:2">
      <c r="A605" s="328" t="str">
        <f t="shared" si="28"/>
        <v/>
      </c>
      <c r="B605" s="328"/>
    </row>
    <row r="606" spans="1:2">
      <c r="A606" s="328" t="str">
        <f t="shared" si="28"/>
        <v/>
      </c>
      <c r="B606" s="328"/>
    </row>
    <row r="607" spans="1:2">
      <c r="A607" s="328" t="str">
        <f t="shared" si="28"/>
        <v/>
      </c>
      <c r="B607" s="328"/>
    </row>
    <row r="608" spans="1:2">
      <c r="A608" s="328" t="str">
        <f t="shared" si="28"/>
        <v/>
      </c>
      <c r="B608" s="328"/>
    </row>
    <row r="609" spans="1:2">
      <c r="A609" s="328" t="str">
        <f t="shared" si="28"/>
        <v/>
      </c>
      <c r="B609" s="328"/>
    </row>
    <row r="610" spans="1:2">
      <c r="A610" s="328" t="str">
        <f t="shared" si="28"/>
        <v/>
      </c>
      <c r="B610" s="328"/>
    </row>
    <row r="611" spans="1:2">
      <c r="A611" s="328" t="str">
        <f t="shared" si="28"/>
        <v/>
      </c>
      <c r="B611" s="328"/>
    </row>
    <row r="612" spans="1:2">
      <c r="A612" s="328" t="str">
        <f t="shared" si="28"/>
        <v/>
      </c>
      <c r="B612" s="328"/>
    </row>
    <row r="613" spans="1:2">
      <c r="A613" s="328" t="str">
        <f t="shared" si="28"/>
        <v/>
      </c>
      <c r="B613" s="328"/>
    </row>
    <row r="614" spans="1:2">
      <c r="A614" s="328" t="str">
        <f t="shared" ref="A614:A677" si="29">IF(ROW()-6&gt;$C$2,"",$C$3*(ROW()-6))</f>
        <v/>
      </c>
      <c r="B614" s="328"/>
    </row>
    <row r="615" spans="1:2">
      <c r="A615" s="328" t="str">
        <f t="shared" si="29"/>
        <v/>
      </c>
      <c r="B615" s="328"/>
    </row>
    <row r="616" spans="1:2">
      <c r="A616" s="328" t="str">
        <f t="shared" si="29"/>
        <v/>
      </c>
      <c r="B616" s="328"/>
    </row>
    <row r="617" spans="1:2">
      <c r="A617" s="328" t="str">
        <f t="shared" si="29"/>
        <v/>
      </c>
      <c r="B617" s="328"/>
    </row>
    <row r="618" spans="1:2">
      <c r="A618" s="328" t="str">
        <f t="shared" si="29"/>
        <v/>
      </c>
      <c r="B618" s="328"/>
    </row>
    <row r="619" spans="1:2">
      <c r="A619" s="328" t="str">
        <f t="shared" si="29"/>
        <v/>
      </c>
      <c r="B619" s="328"/>
    </row>
    <row r="620" spans="1:2">
      <c r="A620" s="328" t="str">
        <f t="shared" si="29"/>
        <v/>
      </c>
      <c r="B620" s="328"/>
    </row>
    <row r="621" spans="1:2">
      <c r="A621" s="328" t="str">
        <f t="shared" si="29"/>
        <v/>
      </c>
      <c r="B621" s="328"/>
    </row>
    <row r="622" spans="1:2">
      <c r="A622" s="328" t="str">
        <f t="shared" si="29"/>
        <v/>
      </c>
      <c r="B622" s="328"/>
    </row>
    <row r="623" spans="1:2">
      <c r="A623" s="328" t="str">
        <f t="shared" si="29"/>
        <v/>
      </c>
      <c r="B623" s="328"/>
    </row>
    <row r="624" spans="1:2">
      <c r="A624" s="328" t="str">
        <f t="shared" si="29"/>
        <v/>
      </c>
      <c r="B624" s="328"/>
    </row>
    <row r="625" spans="1:2">
      <c r="A625" s="328" t="str">
        <f t="shared" si="29"/>
        <v/>
      </c>
      <c r="B625" s="328"/>
    </row>
    <row r="626" spans="1:2">
      <c r="A626" s="328" t="str">
        <f t="shared" si="29"/>
        <v/>
      </c>
      <c r="B626" s="328"/>
    </row>
    <row r="627" spans="1:2">
      <c r="A627" s="328" t="str">
        <f t="shared" si="29"/>
        <v/>
      </c>
      <c r="B627" s="328"/>
    </row>
    <row r="628" spans="1:2">
      <c r="A628" s="328" t="str">
        <f t="shared" si="29"/>
        <v/>
      </c>
      <c r="B628" s="328"/>
    </row>
    <row r="629" spans="1:2">
      <c r="A629" s="328" t="str">
        <f t="shared" si="29"/>
        <v/>
      </c>
      <c r="B629" s="328"/>
    </row>
    <row r="630" spans="1:2">
      <c r="A630" s="328" t="str">
        <f t="shared" si="29"/>
        <v/>
      </c>
      <c r="B630" s="328"/>
    </row>
    <row r="631" spans="1:2">
      <c r="A631" s="328" t="str">
        <f t="shared" si="29"/>
        <v/>
      </c>
      <c r="B631" s="328"/>
    </row>
    <row r="632" spans="1:2">
      <c r="A632" s="328" t="str">
        <f t="shared" si="29"/>
        <v/>
      </c>
      <c r="B632" s="328"/>
    </row>
    <row r="633" spans="1:2">
      <c r="A633" s="328" t="str">
        <f t="shared" si="29"/>
        <v/>
      </c>
      <c r="B633" s="328"/>
    </row>
    <row r="634" spans="1:2">
      <c r="A634" s="328" t="str">
        <f t="shared" si="29"/>
        <v/>
      </c>
      <c r="B634" s="328"/>
    </row>
    <row r="635" spans="1:2">
      <c r="A635" s="328" t="str">
        <f t="shared" si="29"/>
        <v/>
      </c>
      <c r="B635" s="328"/>
    </row>
    <row r="636" spans="1:2">
      <c r="A636" s="328" t="str">
        <f t="shared" si="29"/>
        <v/>
      </c>
      <c r="B636" s="328"/>
    </row>
    <row r="637" spans="1:2">
      <c r="A637" s="328" t="str">
        <f t="shared" si="29"/>
        <v/>
      </c>
      <c r="B637" s="328"/>
    </row>
    <row r="638" spans="1:2">
      <c r="A638" s="328" t="str">
        <f t="shared" si="29"/>
        <v/>
      </c>
      <c r="B638" s="328"/>
    </row>
    <row r="639" spans="1:2">
      <c r="A639" s="328" t="str">
        <f t="shared" si="29"/>
        <v/>
      </c>
      <c r="B639" s="328"/>
    </row>
    <row r="640" spans="1:2">
      <c r="A640" s="328" t="str">
        <f t="shared" si="29"/>
        <v/>
      </c>
      <c r="B640" s="328"/>
    </row>
    <row r="641" spans="1:2">
      <c r="A641" s="328" t="str">
        <f t="shared" si="29"/>
        <v/>
      </c>
      <c r="B641" s="328"/>
    </row>
    <row r="642" spans="1:2">
      <c r="A642" s="328" t="str">
        <f t="shared" si="29"/>
        <v/>
      </c>
      <c r="B642" s="328"/>
    </row>
    <row r="643" spans="1:2">
      <c r="A643" s="328" t="str">
        <f t="shared" si="29"/>
        <v/>
      </c>
      <c r="B643" s="328"/>
    </row>
    <row r="644" spans="1:2">
      <c r="A644" s="328" t="str">
        <f t="shared" si="29"/>
        <v/>
      </c>
      <c r="B644" s="328"/>
    </row>
    <row r="645" spans="1:2">
      <c r="A645" s="328" t="str">
        <f t="shared" si="29"/>
        <v/>
      </c>
      <c r="B645" s="328"/>
    </row>
    <row r="646" spans="1:2">
      <c r="A646" s="328" t="str">
        <f t="shared" si="29"/>
        <v/>
      </c>
      <c r="B646" s="328"/>
    </row>
    <row r="647" spans="1:2">
      <c r="A647" s="328" t="str">
        <f t="shared" si="29"/>
        <v/>
      </c>
      <c r="B647" s="328"/>
    </row>
    <row r="648" spans="1:2">
      <c r="A648" s="328" t="str">
        <f t="shared" si="29"/>
        <v/>
      </c>
      <c r="B648" s="328"/>
    </row>
    <row r="649" spans="1:2">
      <c r="A649" s="328" t="str">
        <f t="shared" si="29"/>
        <v/>
      </c>
      <c r="B649" s="328"/>
    </row>
    <row r="650" spans="1:2">
      <c r="A650" s="328" t="str">
        <f t="shared" si="29"/>
        <v/>
      </c>
      <c r="B650" s="328"/>
    </row>
    <row r="651" spans="1:2">
      <c r="A651" s="328" t="str">
        <f t="shared" si="29"/>
        <v/>
      </c>
      <c r="B651" s="328"/>
    </row>
    <row r="652" spans="1:2">
      <c r="A652" s="328" t="str">
        <f t="shared" si="29"/>
        <v/>
      </c>
      <c r="B652" s="328"/>
    </row>
    <row r="653" spans="1:2">
      <c r="A653" s="328" t="str">
        <f t="shared" si="29"/>
        <v/>
      </c>
      <c r="B653" s="328"/>
    </row>
    <row r="654" spans="1:2">
      <c r="A654" s="328" t="str">
        <f t="shared" si="29"/>
        <v/>
      </c>
      <c r="B654" s="328"/>
    </row>
    <row r="655" spans="1:2">
      <c r="A655" s="328" t="str">
        <f t="shared" si="29"/>
        <v/>
      </c>
      <c r="B655" s="328"/>
    </row>
    <row r="656" spans="1:2">
      <c r="A656" s="328" t="str">
        <f t="shared" si="29"/>
        <v/>
      </c>
      <c r="B656" s="328"/>
    </row>
    <row r="657" spans="1:2">
      <c r="A657" s="328" t="str">
        <f t="shared" si="29"/>
        <v/>
      </c>
      <c r="B657" s="328"/>
    </row>
    <row r="658" spans="1:2">
      <c r="A658" s="328" t="str">
        <f t="shared" si="29"/>
        <v/>
      </c>
      <c r="B658" s="328"/>
    </row>
    <row r="659" spans="1:2">
      <c r="A659" s="328" t="str">
        <f t="shared" si="29"/>
        <v/>
      </c>
      <c r="B659" s="328"/>
    </row>
    <row r="660" spans="1:2">
      <c r="A660" s="328" t="str">
        <f t="shared" si="29"/>
        <v/>
      </c>
      <c r="B660" s="328"/>
    </row>
    <row r="661" spans="1:2">
      <c r="A661" s="328" t="str">
        <f t="shared" si="29"/>
        <v/>
      </c>
      <c r="B661" s="328"/>
    </row>
    <row r="662" spans="1:2">
      <c r="A662" s="328" t="str">
        <f t="shared" si="29"/>
        <v/>
      </c>
      <c r="B662" s="328"/>
    </row>
    <row r="663" spans="1:2">
      <c r="A663" s="328" t="str">
        <f t="shared" si="29"/>
        <v/>
      </c>
      <c r="B663" s="328"/>
    </row>
    <row r="664" spans="1:2">
      <c r="A664" s="328" t="str">
        <f t="shared" si="29"/>
        <v/>
      </c>
      <c r="B664" s="328"/>
    </row>
    <row r="665" spans="1:2">
      <c r="A665" s="328" t="str">
        <f t="shared" si="29"/>
        <v/>
      </c>
      <c r="B665" s="328"/>
    </row>
    <row r="666" spans="1:2">
      <c r="A666" s="328" t="str">
        <f t="shared" si="29"/>
        <v/>
      </c>
      <c r="B666" s="328"/>
    </row>
    <row r="667" spans="1:2">
      <c r="A667" s="328" t="str">
        <f t="shared" si="29"/>
        <v/>
      </c>
      <c r="B667" s="328"/>
    </row>
    <row r="668" spans="1:2">
      <c r="A668" s="328" t="str">
        <f t="shared" si="29"/>
        <v/>
      </c>
      <c r="B668" s="328"/>
    </row>
    <row r="669" spans="1:2">
      <c r="A669" s="328" t="str">
        <f t="shared" si="29"/>
        <v/>
      </c>
      <c r="B669" s="328"/>
    </row>
    <row r="670" spans="1:2">
      <c r="A670" s="328" t="str">
        <f t="shared" si="29"/>
        <v/>
      </c>
      <c r="B670" s="328"/>
    </row>
    <row r="671" spans="1:2">
      <c r="A671" s="328" t="str">
        <f t="shared" si="29"/>
        <v/>
      </c>
      <c r="B671" s="328"/>
    </row>
    <row r="672" spans="1:2">
      <c r="A672" s="328" t="str">
        <f t="shared" si="29"/>
        <v/>
      </c>
      <c r="B672" s="328"/>
    </row>
    <row r="673" spans="1:2">
      <c r="A673" s="328" t="str">
        <f t="shared" si="29"/>
        <v/>
      </c>
      <c r="B673" s="328"/>
    </row>
    <row r="674" spans="1:2">
      <c r="A674" s="328" t="str">
        <f t="shared" si="29"/>
        <v/>
      </c>
      <c r="B674" s="328"/>
    </row>
    <row r="675" spans="1:2">
      <c r="A675" s="328" t="str">
        <f t="shared" si="29"/>
        <v/>
      </c>
      <c r="B675" s="328"/>
    </row>
    <row r="676" spans="1:2">
      <c r="A676" s="328" t="str">
        <f t="shared" si="29"/>
        <v/>
      </c>
      <c r="B676" s="328"/>
    </row>
    <row r="677" spans="1:2">
      <c r="A677" s="328" t="str">
        <f t="shared" si="29"/>
        <v/>
      </c>
      <c r="B677" s="328"/>
    </row>
    <row r="678" spans="1:2">
      <c r="A678" s="328" t="str">
        <f t="shared" ref="A678:A741" si="30">IF(ROW()-6&gt;$C$2,"",$C$3*(ROW()-6))</f>
        <v/>
      </c>
      <c r="B678" s="328"/>
    </row>
    <row r="679" spans="1:2">
      <c r="A679" s="328" t="str">
        <f t="shared" si="30"/>
        <v/>
      </c>
      <c r="B679" s="328"/>
    </row>
    <row r="680" spans="1:2">
      <c r="A680" s="328" t="str">
        <f t="shared" si="30"/>
        <v/>
      </c>
      <c r="B680" s="328"/>
    </row>
    <row r="681" spans="1:2">
      <c r="A681" s="328" t="str">
        <f t="shared" si="30"/>
        <v/>
      </c>
      <c r="B681" s="328"/>
    </row>
    <row r="682" spans="1:2">
      <c r="A682" s="328" t="str">
        <f t="shared" si="30"/>
        <v/>
      </c>
      <c r="B682" s="328"/>
    </row>
    <row r="683" spans="1:2">
      <c r="A683" s="328" t="str">
        <f t="shared" si="30"/>
        <v/>
      </c>
      <c r="B683" s="328"/>
    </row>
    <row r="684" spans="1:2">
      <c r="A684" s="328" t="str">
        <f t="shared" si="30"/>
        <v/>
      </c>
      <c r="B684" s="328"/>
    </row>
    <row r="685" spans="1:2">
      <c r="A685" s="328" t="str">
        <f t="shared" si="30"/>
        <v/>
      </c>
      <c r="B685" s="328"/>
    </row>
    <row r="686" spans="1:2">
      <c r="A686" s="328" t="str">
        <f t="shared" si="30"/>
        <v/>
      </c>
      <c r="B686" s="328"/>
    </row>
    <row r="687" spans="1:2">
      <c r="A687" s="328" t="str">
        <f t="shared" si="30"/>
        <v/>
      </c>
      <c r="B687" s="328"/>
    </row>
    <row r="688" spans="1:2">
      <c r="A688" s="328" t="str">
        <f t="shared" si="30"/>
        <v/>
      </c>
      <c r="B688" s="328"/>
    </row>
    <row r="689" spans="1:2">
      <c r="A689" s="328" t="str">
        <f t="shared" si="30"/>
        <v/>
      </c>
      <c r="B689" s="328"/>
    </row>
    <row r="690" spans="1:2">
      <c r="A690" s="328" t="str">
        <f t="shared" si="30"/>
        <v/>
      </c>
      <c r="B690" s="328"/>
    </row>
    <row r="691" spans="1:2">
      <c r="A691" s="328" t="str">
        <f t="shared" si="30"/>
        <v/>
      </c>
      <c r="B691" s="328"/>
    </row>
    <row r="692" spans="1:2">
      <c r="A692" s="328" t="str">
        <f t="shared" si="30"/>
        <v/>
      </c>
      <c r="B692" s="328"/>
    </row>
    <row r="693" spans="1:2">
      <c r="A693" s="328" t="str">
        <f t="shared" si="30"/>
        <v/>
      </c>
      <c r="B693" s="328"/>
    </row>
    <row r="694" spans="1:2">
      <c r="A694" s="328" t="str">
        <f t="shared" si="30"/>
        <v/>
      </c>
      <c r="B694" s="328"/>
    </row>
    <row r="695" spans="1:2">
      <c r="A695" s="328" t="str">
        <f t="shared" si="30"/>
        <v/>
      </c>
      <c r="B695" s="328"/>
    </row>
    <row r="696" spans="1:2">
      <c r="A696" s="328" t="str">
        <f t="shared" si="30"/>
        <v/>
      </c>
      <c r="B696" s="328"/>
    </row>
    <row r="697" spans="1:2">
      <c r="A697" s="328" t="str">
        <f t="shared" si="30"/>
        <v/>
      </c>
      <c r="B697" s="328"/>
    </row>
    <row r="698" spans="1:2">
      <c r="A698" s="328" t="str">
        <f t="shared" si="30"/>
        <v/>
      </c>
      <c r="B698" s="328"/>
    </row>
    <row r="699" spans="1:2">
      <c r="A699" s="328" t="str">
        <f t="shared" si="30"/>
        <v/>
      </c>
      <c r="B699" s="328"/>
    </row>
    <row r="700" spans="1:2">
      <c r="A700" s="328" t="str">
        <f t="shared" si="30"/>
        <v/>
      </c>
      <c r="B700" s="328"/>
    </row>
    <row r="701" spans="1:2">
      <c r="A701" s="328" t="str">
        <f t="shared" si="30"/>
        <v/>
      </c>
      <c r="B701" s="328"/>
    </row>
    <row r="702" spans="1:2">
      <c r="A702" s="328" t="str">
        <f t="shared" si="30"/>
        <v/>
      </c>
      <c r="B702" s="328"/>
    </row>
    <row r="703" spans="1:2">
      <c r="A703" s="328" t="str">
        <f t="shared" si="30"/>
        <v/>
      </c>
      <c r="B703" s="328"/>
    </row>
    <row r="704" spans="1:2">
      <c r="A704" s="328" t="str">
        <f t="shared" si="30"/>
        <v/>
      </c>
      <c r="B704" s="328"/>
    </row>
    <row r="705" spans="1:2">
      <c r="A705" s="328" t="str">
        <f t="shared" si="30"/>
        <v/>
      </c>
      <c r="B705" s="328"/>
    </row>
    <row r="706" spans="1:2">
      <c r="A706" s="328" t="str">
        <f t="shared" si="30"/>
        <v/>
      </c>
      <c r="B706" s="328"/>
    </row>
    <row r="707" spans="1:2">
      <c r="A707" s="328" t="str">
        <f t="shared" si="30"/>
        <v/>
      </c>
      <c r="B707" s="328"/>
    </row>
    <row r="708" spans="1:2">
      <c r="A708" s="328" t="str">
        <f t="shared" si="30"/>
        <v/>
      </c>
      <c r="B708" s="328"/>
    </row>
    <row r="709" spans="1:2">
      <c r="A709" s="328" t="str">
        <f t="shared" si="30"/>
        <v/>
      </c>
      <c r="B709" s="328"/>
    </row>
    <row r="710" spans="1:2">
      <c r="A710" s="328" t="str">
        <f t="shared" si="30"/>
        <v/>
      </c>
      <c r="B710" s="328"/>
    </row>
    <row r="711" spans="1:2">
      <c r="A711" s="328" t="str">
        <f t="shared" si="30"/>
        <v/>
      </c>
      <c r="B711" s="328"/>
    </row>
    <row r="712" spans="1:2">
      <c r="A712" s="328" t="str">
        <f t="shared" si="30"/>
        <v/>
      </c>
      <c r="B712" s="328"/>
    </row>
    <row r="713" spans="1:2">
      <c r="A713" s="328" t="str">
        <f t="shared" si="30"/>
        <v/>
      </c>
      <c r="B713" s="328"/>
    </row>
    <row r="714" spans="1:2">
      <c r="A714" s="328" t="str">
        <f t="shared" si="30"/>
        <v/>
      </c>
      <c r="B714" s="328"/>
    </row>
    <row r="715" spans="1:2">
      <c r="A715" s="328" t="str">
        <f t="shared" si="30"/>
        <v/>
      </c>
      <c r="B715" s="328"/>
    </row>
    <row r="716" spans="1:2">
      <c r="A716" s="328" t="str">
        <f t="shared" si="30"/>
        <v/>
      </c>
      <c r="B716" s="328"/>
    </row>
    <row r="717" spans="1:2">
      <c r="A717" s="328" t="str">
        <f t="shared" si="30"/>
        <v/>
      </c>
      <c r="B717" s="328"/>
    </row>
    <row r="718" spans="1:2">
      <c r="A718" s="328" t="str">
        <f t="shared" si="30"/>
        <v/>
      </c>
      <c r="B718" s="328"/>
    </row>
    <row r="719" spans="1:2">
      <c r="A719" s="328" t="str">
        <f t="shared" si="30"/>
        <v/>
      </c>
      <c r="B719" s="328"/>
    </row>
    <row r="720" spans="1:2">
      <c r="A720" s="328" t="str">
        <f t="shared" si="30"/>
        <v/>
      </c>
      <c r="B720" s="328"/>
    </row>
    <row r="721" spans="1:2">
      <c r="A721" s="328" t="str">
        <f t="shared" si="30"/>
        <v/>
      </c>
      <c r="B721" s="328"/>
    </row>
    <row r="722" spans="1:2">
      <c r="A722" s="328" t="str">
        <f t="shared" si="30"/>
        <v/>
      </c>
      <c r="B722" s="328"/>
    </row>
    <row r="723" spans="1:2">
      <c r="A723" s="328" t="str">
        <f t="shared" si="30"/>
        <v/>
      </c>
      <c r="B723" s="328"/>
    </row>
    <row r="724" spans="1:2">
      <c r="A724" s="328" t="str">
        <f t="shared" si="30"/>
        <v/>
      </c>
      <c r="B724" s="328"/>
    </row>
    <row r="725" spans="1:2">
      <c r="A725" s="328" t="str">
        <f t="shared" si="30"/>
        <v/>
      </c>
      <c r="B725" s="328"/>
    </row>
    <row r="726" spans="1:2">
      <c r="A726" s="328" t="str">
        <f t="shared" si="30"/>
        <v/>
      </c>
      <c r="B726" s="328"/>
    </row>
    <row r="727" spans="1:2">
      <c r="A727" s="328" t="str">
        <f t="shared" si="30"/>
        <v/>
      </c>
      <c r="B727" s="328"/>
    </row>
    <row r="728" spans="1:2">
      <c r="A728" s="328" t="str">
        <f t="shared" si="30"/>
        <v/>
      </c>
      <c r="B728" s="328"/>
    </row>
    <row r="729" spans="1:2">
      <c r="A729" s="328" t="str">
        <f t="shared" si="30"/>
        <v/>
      </c>
      <c r="B729" s="328"/>
    </row>
    <row r="730" spans="1:2">
      <c r="A730" s="328" t="str">
        <f t="shared" si="30"/>
        <v/>
      </c>
      <c r="B730" s="328"/>
    </row>
    <row r="731" spans="1:2">
      <c r="A731" s="328" t="str">
        <f t="shared" si="30"/>
        <v/>
      </c>
      <c r="B731" s="328"/>
    </row>
    <row r="732" spans="1:2">
      <c r="A732" s="328" t="str">
        <f t="shared" si="30"/>
        <v/>
      </c>
      <c r="B732" s="328"/>
    </row>
    <row r="733" spans="1:2">
      <c r="A733" s="328" t="str">
        <f t="shared" si="30"/>
        <v/>
      </c>
      <c r="B733" s="328"/>
    </row>
    <row r="734" spans="1:2">
      <c r="A734" s="328" t="str">
        <f t="shared" si="30"/>
        <v/>
      </c>
      <c r="B734" s="328"/>
    </row>
    <row r="735" spans="1:2">
      <c r="A735" s="328" t="str">
        <f t="shared" si="30"/>
        <v/>
      </c>
      <c r="B735" s="328"/>
    </row>
    <row r="736" spans="1:2">
      <c r="A736" s="328" t="str">
        <f t="shared" si="30"/>
        <v/>
      </c>
      <c r="B736" s="328"/>
    </row>
    <row r="737" spans="1:2">
      <c r="A737" s="328" t="str">
        <f t="shared" si="30"/>
        <v/>
      </c>
      <c r="B737" s="328"/>
    </row>
    <row r="738" spans="1:2">
      <c r="A738" s="328" t="str">
        <f t="shared" si="30"/>
        <v/>
      </c>
      <c r="B738" s="328"/>
    </row>
    <row r="739" spans="1:2">
      <c r="A739" s="328" t="str">
        <f t="shared" si="30"/>
        <v/>
      </c>
      <c r="B739" s="328"/>
    </row>
    <row r="740" spans="1:2">
      <c r="A740" s="328" t="str">
        <f t="shared" si="30"/>
        <v/>
      </c>
      <c r="B740" s="328"/>
    </row>
    <row r="741" spans="1:2">
      <c r="A741" s="328" t="str">
        <f t="shared" si="30"/>
        <v/>
      </c>
      <c r="B741" s="328"/>
    </row>
    <row r="742" spans="1:2">
      <c r="A742" s="328" t="str">
        <f t="shared" ref="A742:A805" si="31">IF(ROW()-6&gt;$C$2,"",$C$3*(ROW()-6))</f>
        <v/>
      </c>
      <c r="B742" s="328"/>
    </row>
    <row r="743" spans="1:2">
      <c r="A743" s="328" t="str">
        <f t="shared" si="31"/>
        <v/>
      </c>
      <c r="B743" s="328"/>
    </row>
    <row r="744" spans="1:2">
      <c r="A744" s="328" t="str">
        <f t="shared" si="31"/>
        <v/>
      </c>
      <c r="B744" s="328"/>
    </row>
    <row r="745" spans="1:2">
      <c r="A745" s="328" t="str">
        <f t="shared" si="31"/>
        <v/>
      </c>
      <c r="B745" s="328"/>
    </row>
    <row r="746" spans="1:2">
      <c r="A746" s="328" t="str">
        <f t="shared" si="31"/>
        <v/>
      </c>
      <c r="B746" s="328"/>
    </row>
    <row r="747" spans="1:2">
      <c r="A747" s="328" t="str">
        <f t="shared" si="31"/>
        <v/>
      </c>
      <c r="B747" s="328"/>
    </row>
    <row r="748" spans="1:2">
      <c r="A748" s="328" t="str">
        <f t="shared" si="31"/>
        <v/>
      </c>
      <c r="B748" s="328"/>
    </row>
    <row r="749" spans="1:2">
      <c r="A749" s="328" t="str">
        <f t="shared" si="31"/>
        <v/>
      </c>
      <c r="B749" s="328"/>
    </row>
    <row r="750" spans="1:2">
      <c r="A750" s="328" t="str">
        <f t="shared" si="31"/>
        <v/>
      </c>
      <c r="B750" s="328"/>
    </row>
    <row r="751" spans="1:2">
      <c r="A751" s="328" t="str">
        <f t="shared" si="31"/>
        <v/>
      </c>
      <c r="B751" s="328"/>
    </row>
    <row r="752" spans="1:2">
      <c r="A752" s="328" t="str">
        <f t="shared" si="31"/>
        <v/>
      </c>
      <c r="B752" s="328"/>
    </row>
    <row r="753" spans="1:2">
      <c r="A753" s="328" t="str">
        <f t="shared" si="31"/>
        <v/>
      </c>
      <c r="B753" s="328"/>
    </row>
    <row r="754" spans="1:2">
      <c r="A754" s="328" t="str">
        <f t="shared" si="31"/>
        <v/>
      </c>
      <c r="B754" s="328"/>
    </row>
    <row r="755" spans="1:2">
      <c r="A755" s="328" t="str">
        <f t="shared" si="31"/>
        <v/>
      </c>
      <c r="B755" s="328"/>
    </row>
    <row r="756" spans="1:2">
      <c r="A756" s="328" t="str">
        <f t="shared" si="31"/>
        <v/>
      </c>
      <c r="B756" s="328"/>
    </row>
    <row r="757" spans="1:2">
      <c r="A757" s="328" t="str">
        <f t="shared" si="31"/>
        <v/>
      </c>
      <c r="B757" s="328"/>
    </row>
    <row r="758" spans="1:2">
      <c r="A758" s="328" t="str">
        <f t="shared" si="31"/>
        <v/>
      </c>
      <c r="B758" s="328"/>
    </row>
    <row r="759" spans="1:2">
      <c r="A759" s="328" t="str">
        <f t="shared" si="31"/>
        <v/>
      </c>
      <c r="B759" s="328"/>
    </row>
    <row r="760" spans="1:2">
      <c r="A760" s="328" t="str">
        <f t="shared" si="31"/>
        <v/>
      </c>
      <c r="B760" s="328"/>
    </row>
    <row r="761" spans="1:2">
      <c r="A761" s="328" t="str">
        <f t="shared" si="31"/>
        <v/>
      </c>
      <c r="B761" s="328"/>
    </row>
    <row r="762" spans="1:2">
      <c r="A762" s="328" t="str">
        <f t="shared" si="31"/>
        <v/>
      </c>
      <c r="B762" s="328"/>
    </row>
    <row r="763" spans="1:2">
      <c r="A763" s="328" t="str">
        <f t="shared" si="31"/>
        <v/>
      </c>
      <c r="B763" s="328"/>
    </row>
    <row r="764" spans="1:2">
      <c r="A764" s="328" t="str">
        <f t="shared" si="31"/>
        <v/>
      </c>
      <c r="B764" s="328"/>
    </row>
    <row r="765" spans="1:2">
      <c r="A765" s="328" t="str">
        <f t="shared" si="31"/>
        <v/>
      </c>
      <c r="B765" s="328"/>
    </row>
    <row r="766" spans="1:2">
      <c r="A766" s="328" t="str">
        <f t="shared" si="31"/>
        <v/>
      </c>
      <c r="B766" s="328"/>
    </row>
    <row r="767" spans="1:2">
      <c r="A767" s="328" t="str">
        <f t="shared" si="31"/>
        <v/>
      </c>
      <c r="B767" s="328"/>
    </row>
    <row r="768" spans="1:2">
      <c r="A768" s="328" t="str">
        <f t="shared" si="31"/>
        <v/>
      </c>
      <c r="B768" s="328"/>
    </row>
    <row r="769" spans="1:2">
      <c r="A769" s="328" t="str">
        <f t="shared" si="31"/>
        <v/>
      </c>
      <c r="B769" s="328"/>
    </row>
    <row r="770" spans="1:2">
      <c r="A770" s="328" t="str">
        <f t="shared" si="31"/>
        <v/>
      </c>
      <c r="B770" s="328"/>
    </row>
    <row r="771" spans="1:2">
      <c r="A771" s="328" t="str">
        <f t="shared" si="31"/>
        <v/>
      </c>
      <c r="B771" s="328"/>
    </row>
    <row r="772" spans="1:2">
      <c r="A772" s="328" t="str">
        <f t="shared" si="31"/>
        <v/>
      </c>
      <c r="B772" s="328"/>
    </row>
    <row r="773" spans="1:2">
      <c r="A773" s="328" t="str">
        <f t="shared" si="31"/>
        <v/>
      </c>
      <c r="B773" s="328"/>
    </row>
    <row r="774" spans="1:2">
      <c r="A774" s="328" t="str">
        <f t="shared" si="31"/>
        <v/>
      </c>
      <c r="B774" s="328"/>
    </row>
    <row r="775" spans="1:2">
      <c r="A775" s="328" t="str">
        <f t="shared" si="31"/>
        <v/>
      </c>
      <c r="B775" s="328"/>
    </row>
    <row r="776" spans="1:2">
      <c r="A776" s="328" t="str">
        <f t="shared" si="31"/>
        <v/>
      </c>
      <c r="B776" s="328"/>
    </row>
    <row r="777" spans="1:2">
      <c r="A777" s="328" t="str">
        <f t="shared" si="31"/>
        <v/>
      </c>
      <c r="B777" s="328"/>
    </row>
    <row r="778" spans="1:2">
      <c r="A778" s="328" t="str">
        <f t="shared" si="31"/>
        <v/>
      </c>
      <c r="B778" s="328"/>
    </row>
    <row r="779" spans="1:2">
      <c r="A779" s="328" t="str">
        <f t="shared" si="31"/>
        <v/>
      </c>
      <c r="B779" s="328"/>
    </row>
    <row r="780" spans="1:2">
      <c r="A780" s="328" t="str">
        <f t="shared" si="31"/>
        <v/>
      </c>
      <c r="B780" s="328"/>
    </row>
    <row r="781" spans="1:2">
      <c r="A781" s="328" t="str">
        <f t="shared" si="31"/>
        <v/>
      </c>
      <c r="B781" s="328"/>
    </row>
    <row r="782" spans="1:2">
      <c r="A782" s="328" t="str">
        <f t="shared" si="31"/>
        <v/>
      </c>
      <c r="B782" s="328"/>
    </row>
    <row r="783" spans="1:2">
      <c r="A783" s="328" t="str">
        <f t="shared" si="31"/>
        <v/>
      </c>
      <c r="B783" s="328"/>
    </row>
    <row r="784" spans="1:2">
      <c r="A784" s="328" t="str">
        <f t="shared" si="31"/>
        <v/>
      </c>
      <c r="B784" s="328"/>
    </row>
    <row r="785" spans="1:2">
      <c r="A785" s="328" t="str">
        <f t="shared" si="31"/>
        <v/>
      </c>
      <c r="B785" s="328"/>
    </row>
    <row r="786" spans="1:2">
      <c r="A786" s="328" t="str">
        <f t="shared" si="31"/>
        <v/>
      </c>
      <c r="B786" s="328"/>
    </row>
    <row r="787" spans="1:2">
      <c r="A787" s="328" t="str">
        <f t="shared" si="31"/>
        <v/>
      </c>
      <c r="B787" s="328"/>
    </row>
    <row r="788" spans="1:2">
      <c r="A788" s="328" t="str">
        <f t="shared" si="31"/>
        <v/>
      </c>
      <c r="B788" s="328"/>
    </row>
    <row r="789" spans="1:2">
      <c r="A789" s="328" t="str">
        <f t="shared" si="31"/>
        <v/>
      </c>
      <c r="B789" s="328"/>
    </row>
    <row r="790" spans="1:2">
      <c r="A790" s="328" t="str">
        <f t="shared" si="31"/>
        <v/>
      </c>
      <c r="B790" s="328"/>
    </row>
    <row r="791" spans="1:2">
      <c r="A791" s="328" t="str">
        <f t="shared" si="31"/>
        <v/>
      </c>
      <c r="B791" s="328"/>
    </row>
    <row r="792" spans="1:2">
      <c r="A792" s="328" t="str">
        <f t="shared" si="31"/>
        <v/>
      </c>
      <c r="B792" s="328"/>
    </row>
    <row r="793" spans="1:2">
      <c r="A793" s="328" t="str">
        <f t="shared" si="31"/>
        <v/>
      </c>
      <c r="B793" s="328"/>
    </row>
    <row r="794" spans="1:2">
      <c r="A794" s="328" t="str">
        <f t="shared" si="31"/>
        <v/>
      </c>
      <c r="B794" s="328"/>
    </row>
    <row r="795" spans="1:2">
      <c r="A795" s="328" t="str">
        <f t="shared" si="31"/>
        <v/>
      </c>
      <c r="B795" s="328"/>
    </row>
    <row r="796" spans="1:2">
      <c r="A796" s="328" t="str">
        <f t="shared" si="31"/>
        <v/>
      </c>
      <c r="B796" s="328"/>
    </row>
    <row r="797" spans="1:2">
      <c r="A797" s="328" t="str">
        <f t="shared" si="31"/>
        <v/>
      </c>
      <c r="B797" s="328"/>
    </row>
    <row r="798" spans="1:2">
      <c r="A798" s="328" t="str">
        <f t="shared" si="31"/>
        <v/>
      </c>
      <c r="B798" s="328"/>
    </row>
    <row r="799" spans="1:2">
      <c r="A799" s="328" t="str">
        <f t="shared" si="31"/>
        <v/>
      </c>
      <c r="B799" s="328"/>
    </row>
    <row r="800" spans="1:2">
      <c r="A800" s="328" t="str">
        <f t="shared" si="31"/>
        <v/>
      </c>
      <c r="B800" s="328"/>
    </row>
    <row r="801" spans="1:2">
      <c r="A801" s="328" t="str">
        <f t="shared" si="31"/>
        <v/>
      </c>
      <c r="B801" s="328"/>
    </row>
    <row r="802" spans="1:2">
      <c r="A802" s="328" t="str">
        <f t="shared" si="31"/>
        <v/>
      </c>
      <c r="B802" s="328"/>
    </row>
    <row r="803" spans="1:2">
      <c r="A803" s="328" t="str">
        <f t="shared" si="31"/>
        <v/>
      </c>
      <c r="B803" s="328"/>
    </row>
    <row r="804" spans="1:2">
      <c r="A804" s="328" t="str">
        <f t="shared" si="31"/>
        <v/>
      </c>
      <c r="B804" s="328"/>
    </row>
    <row r="805" spans="1:2">
      <c r="A805" s="328" t="str">
        <f t="shared" si="31"/>
        <v/>
      </c>
      <c r="B805" s="328"/>
    </row>
    <row r="806" spans="1:2">
      <c r="A806" s="328" t="str">
        <f t="shared" ref="A806:A869" si="32">IF(ROW()-6&gt;$C$2,"",$C$3*(ROW()-6))</f>
        <v/>
      </c>
      <c r="B806" s="328"/>
    </row>
    <row r="807" spans="1:2">
      <c r="A807" s="328" t="str">
        <f t="shared" si="32"/>
        <v/>
      </c>
      <c r="B807" s="328"/>
    </row>
    <row r="808" spans="1:2">
      <c r="A808" s="328" t="str">
        <f t="shared" si="32"/>
        <v/>
      </c>
      <c r="B808" s="328"/>
    </row>
    <row r="809" spans="1:2">
      <c r="A809" s="328" t="str">
        <f t="shared" si="32"/>
        <v/>
      </c>
      <c r="B809" s="328"/>
    </row>
    <row r="810" spans="1:2">
      <c r="A810" s="328" t="str">
        <f t="shared" si="32"/>
        <v/>
      </c>
      <c r="B810" s="328"/>
    </row>
    <row r="811" spans="1:2">
      <c r="A811" s="328" t="str">
        <f t="shared" si="32"/>
        <v/>
      </c>
      <c r="B811" s="328"/>
    </row>
    <row r="812" spans="1:2">
      <c r="A812" s="328" t="str">
        <f t="shared" si="32"/>
        <v/>
      </c>
      <c r="B812" s="328"/>
    </row>
    <row r="813" spans="1:2">
      <c r="A813" s="328" t="str">
        <f t="shared" si="32"/>
        <v/>
      </c>
      <c r="B813" s="328"/>
    </row>
    <row r="814" spans="1:2">
      <c r="A814" s="328" t="str">
        <f t="shared" si="32"/>
        <v/>
      </c>
      <c r="B814" s="328"/>
    </row>
    <row r="815" spans="1:2">
      <c r="A815" s="328" t="str">
        <f t="shared" si="32"/>
        <v/>
      </c>
      <c r="B815" s="328"/>
    </row>
    <row r="816" spans="1:2">
      <c r="A816" s="328" t="str">
        <f t="shared" si="32"/>
        <v/>
      </c>
      <c r="B816" s="328"/>
    </row>
    <row r="817" spans="1:2">
      <c r="A817" s="328" t="str">
        <f t="shared" si="32"/>
        <v/>
      </c>
      <c r="B817" s="328"/>
    </row>
    <row r="818" spans="1:2">
      <c r="A818" s="328" t="str">
        <f t="shared" si="32"/>
        <v/>
      </c>
      <c r="B818" s="328"/>
    </row>
    <row r="819" spans="1:2">
      <c r="A819" s="328" t="str">
        <f t="shared" si="32"/>
        <v/>
      </c>
      <c r="B819" s="328"/>
    </row>
    <row r="820" spans="1:2">
      <c r="A820" s="328" t="str">
        <f t="shared" si="32"/>
        <v/>
      </c>
      <c r="B820" s="328"/>
    </row>
    <row r="821" spans="1:2">
      <c r="A821" s="328" t="str">
        <f t="shared" si="32"/>
        <v/>
      </c>
      <c r="B821" s="328"/>
    </row>
    <row r="822" spans="1:2">
      <c r="A822" s="328" t="str">
        <f t="shared" si="32"/>
        <v/>
      </c>
      <c r="B822" s="328"/>
    </row>
    <row r="823" spans="1:2">
      <c r="A823" s="328" t="str">
        <f t="shared" si="32"/>
        <v/>
      </c>
      <c r="B823" s="328"/>
    </row>
    <row r="824" spans="1:2">
      <c r="A824" s="328" t="str">
        <f t="shared" si="32"/>
        <v/>
      </c>
      <c r="B824" s="328"/>
    </row>
    <row r="825" spans="1:2">
      <c r="A825" s="328" t="str">
        <f t="shared" si="32"/>
        <v/>
      </c>
      <c r="B825" s="328"/>
    </row>
    <row r="826" spans="1:2">
      <c r="A826" s="328" t="str">
        <f t="shared" si="32"/>
        <v/>
      </c>
      <c r="B826" s="328"/>
    </row>
    <row r="827" spans="1:2">
      <c r="A827" s="328" t="str">
        <f t="shared" si="32"/>
        <v/>
      </c>
      <c r="B827" s="328"/>
    </row>
    <row r="828" spans="1:2">
      <c r="A828" s="328" t="str">
        <f t="shared" si="32"/>
        <v/>
      </c>
      <c r="B828" s="328"/>
    </row>
    <row r="829" spans="1:2">
      <c r="A829" s="328" t="str">
        <f t="shared" si="32"/>
        <v/>
      </c>
      <c r="B829" s="328"/>
    </row>
    <row r="830" spans="1:2">
      <c r="A830" s="328" t="str">
        <f t="shared" si="32"/>
        <v/>
      </c>
      <c r="B830" s="328"/>
    </row>
    <row r="831" spans="1:2">
      <c r="A831" s="328" t="str">
        <f t="shared" si="32"/>
        <v/>
      </c>
      <c r="B831" s="328"/>
    </row>
    <row r="832" spans="1:2">
      <c r="A832" s="328" t="str">
        <f t="shared" si="32"/>
        <v/>
      </c>
      <c r="B832" s="328"/>
    </row>
    <row r="833" spans="1:2">
      <c r="A833" s="328" t="str">
        <f t="shared" si="32"/>
        <v/>
      </c>
      <c r="B833" s="328"/>
    </row>
    <row r="834" spans="1:2">
      <c r="A834" s="328" t="str">
        <f t="shared" si="32"/>
        <v/>
      </c>
      <c r="B834" s="328"/>
    </row>
    <row r="835" spans="1:2">
      <c r="A835" s="328" t="str">
        <f t="shared" si="32"/>
        <v/>
      </c>
      <c r="B835" s="328"/>
    </row>
    <row r="836" spans="1:2">
      <c r="A836" s="328" t="str">
        <f t="shared" si="32"/>
        <v/>
      </c>
      <c r="B836" s="328"/>
    </row>
    <row r="837" spans="1:2">
      <c r="A837" s="328" t="str">
        <f t="shared" si="32"/>
        <v/>
      </c>
      <c r="B837" s="328"/>
    </row>
    <row r="838" spans="1:2">
      <c r="A838" s="328" t="str">
        <f t="shared" si="32"/>
        <v/>
      </c>
      <c r="B838" s="328"/>
    </row>
    <row r="839" spans="1:2">
      <c r="A839" s="328" t="str">
        <f t="shared" si="32"/>
        <v/>
      </c>
      <c r="B839" s="328"/>
    </row>
    <row r="840" spans="1:2">
      <c r="A840" s="328" t="str">
        <f t="shared" si="32"/>
        <v/>
      </c>
      <c r="B840" s="328"/>
    </row>
    <row r="841" spans="1:2">
      <c r="A841" s="328" t="str">
        <f t="shared" si="32"/>
        <v/>
      </c>
      <c r="B841" s="328"/>
    </row>
    <row r="842" spans="1:2">
      <c r="A842" s="328" t="str">
        <f t="shared" si="32"/>
        <v/>
      </c>
      <c r="B842" s="328"/>
    </row>
    <row r="843" spans="1:2">
      <c r="A843" s="328" t="str">
        <f t="shared" si="32"/>
        <v/>
      </c>
      <c r="B843" s="328"/>
    </row>
    <row r="844" spans="1:2">
      <c r="A844" s="328" t="str">
        <f t="shared" si="32"/>
        <v/>
      </c>
      <c r="B844" s="328"/>
    </row>
    <row r="845" spans="1:2">
      <c r="A845" s="328" t="str">
        <f t="shared" si="32"/>
        <v/>
      </c>
      <c r="B845" s="328"/>
    </row>
    <row r="846" spans="1:2">
      <c r="A846" s="328" t="str">
        <f t="shared" si="32"/>
        <v/>
      </c>
      <c r="B846" s="328"/>
    </row>
    <row r="847" spans="1:2">
      <c r="A847" s="328" t="str">
        <f t="shared" si="32"/>
        <v/>
      </c>
      <c r="B847" s="328"/>
    </row>
    <row r="848" spans="1:2">
      <c r="A848" s="328" t="str">
        <f t="shared" si="32"/>
        <v/>
      </c>
      <c r="B848" s="328"/>
    </row>
    <row r="849" spans="1:2">
      <c r="A849" s="328" t="str">
        <f t="shared" si="32"/>
        <v/>
      </c>
      <c r="B849" s="328"/>
    </row>
    <row r="850" spans="1:2">
      <c r="A850" s="328" t="str">
        <f t="shared" si="32"/>
        <v/>
      </c>
      <c r="B850" s="328"/>
    </row>
    <row r="851" spans="1:2">
      <c r="A851" s="328" t="str">
        <f t="shared" si="32"/>
        <v/>
      </c>
      <c r="B851" s="328"/>
    </row>
    <row r="852" spans="1:2">
      <c r="A852" s="328" t="str">
        <f t="shared" si="32"/>
        <v/>
      </c>
      <c r="B852" s="328"/>
    </row>
    <row r="853" spans="1:2">
      <c r="A853" s="328" t="str">
        <f t="shared" si="32"/>
        <v/>
      </c>
      <c r="B853" s="328"/>
    </row>
    <row r="854" spans="1:2">
      <c r="A854" s="328" t="str">
        <f t="shared" si="32"/>
        <v/>
      </c>
      <c r="B854" s="328"/>
    </row>
    <row r="855" spans="1:2">
      <c r="A855" s="328" t="str">
        <f t="shared" si="32"/>
        <v/>
      </c>
      <c r="B855" s="328"/>
    </row>
    <row r="856" spans="1:2">
      <c r="A856" s="328" t="str">
        <f t="shared" si="32"/>
        <v/>
      </c>
      <c r="B856" s="328"/>
    </row>
    <row r="857" spans="1:2">
      <c r="A857" s="328" t="str">
        <f t="shared" si="32"/>
        <v/>
      </c>
      <c r="B857" s="328"/>
    </row>
    <row r="858" spans="1:2">
      <c r="A858" s="328" t="str">
        <f t="shared" si="32"/>
        <v/>
      </c>
      <c r="B858" s="328"/>
    </row>
    <row r="859" spans="1:2">
      <c r="A859" s="328" t="str">
        <f t="shared" si="32"/>
        <v/>
      </c>
      <c r="B859" s="328"/>
    </row>
    <row r="860" spans="1:2">
      <c r="A860" s="328" t="str">
        <f t="shared" si="32"/>
        <v/>
      </c>
      <c r="B860" s="328"/>
    </row>
    <row r="861" spans="1:2">
      <c r="A861" s="328" t="str">
        <f t="shared" si="32"/>
        <v/>
      </c>
      <c r="B861" s="328"/>
    </row>
    <row r="862" spans="1:2">
      <c r="A862" s="328" t="str">
        <f t="shared" si="32"/>
        <v/>
      </c>
      <c r="B862" s="328"/>
    </row>
    <row r="863" spans="1:2">
      <c r="A863" s="328" t="str">
        <f t="shared" si="32"/>
        <v/>
      </c>
      <c r="B863" s="328"/>
    </row>
    <row r="864" spans="1:2">
      <c r="A864" s="328" t="str">
        <f t="shared" si="32"/>
        <v/>
      </c>
      <c r="B864" s="328"/>
    </row>
    <row r="865" spans="1:2">
      <c r="A865" s="328" t="str">
        <f t="shared" si="32"/>
        <v/>
      </c>
      <c r="B865" s="328"/>
    </row>
    <row r="866" spans="1:2">
      <c r="A866" s="328" t="str">
        <f t="shared" si="32"/>
        <v/>
      </c>
      <c r="B866" s="328"/>
    </row>
    <row r="867" spans="1:2">
      <c r="A867" s="328" t="str">
        <f t="shared" si="32"/>
        <v/>
      </c>
      <c r="B867" s="328"/>
    </row>
    <row r="868" spans="1:2">
      <c r="A868" s="328" t="str">
        <f t="shared" si="32"/>
        <v/>
      </c>
      <c r="B868" s="328"/>
    </row>
    <row r="869" spans="1:2">
      <c r="A869" s="328" t="str">
        <f t="shared" si="32"/>
        <v/>
      </c>
      <c r="B869" s="328"/>
    </row>
    <row r="870" spans="1:2">
      <c r="A870" s="328" t="str">
        <f t="shared" ref="A870:A933" si="33">IF(ROW()-6&gt;$C$2,"",$C$3*(ROW()-6))</f>
        <v/>
      </c>
      <c r="B870" s="328"/>
    </row>
    <row r="871" spans="1:2">
      <c r="A871" s="328" t="str">
        <f t="shared" si="33"/>
        <v/>
      </c>
      <c r="B871" s="328"/>
    </row>
    <row r="872" spans="1:2">
      <c r="A872" s="328" t="str">
        <f t="shared" si="33"/>
        <v/>
      </c>
      <c r="B872" s="328"/>
    </row>
    <row r="873" spans="1:2">
      <c r="A873" s="328" t="str">
        <f t="shared" si="33"/>
        <v/>
      </c>
      <c r="B873" s="328"/>
    </row>
    <row r="874" spans="1:2">
      <c r="A874" s="328" t="str">
        <f t="shared" si="33"/>
        <v/>
      </c>
      <c r="B874" s="328"/>
    </row>
    <row r="875" spans="1:2">
      <c r="A875" s="328" t="str">
        <f t="shared" si="33"/>
        <v/>
      </c>
      <c r="B875" s="328"/>
    </row>
    <row r="876" spans="1:2">
      <c r="A876" s="328" t="str">
        <f t="shared" si="33"/>
        <v/>
      </c>
      <c r="B876" s="328"/>
    </row>
    <row r="877" spans="1:2">
      <c r="A877" s="328" t="str">
        <f t="shared" si="33"/>
        <v/>
      </c>
      <c r="B877" s="328"/>
    </row>
    <row r="878" spans="1:2">
      <c r="A878" s="328" t="str">
        <f t="shared" si="33"/>
        <v/>
      </c>
      <c r="B878" s="328"/>
    </row>
    <row r="879" spans="1:2">
      <c r="A879" s="328" t="str">
        <f t="shared" si="33"/>
        <v/>
      </c>
      <c r="B879" s="328"/>
    </row>
    <row r="880" spans="1:2">
      <c r="A880" s="328" t="str">
        <f t="shared" si="33"/>
        <v/>
      </c>
      <c r="B880" s="328"/>
    </row>
    <row r="881" spans="1:2">
      <c r="A881" s="328" t="str">
        <f t="shared" si="33"/>
        <v/>
      </c>
      <c r="B881" s="328"/>
    </row>
    <row r="882" spans="1:2">
      <c r="A882" s="328" t="str">
        <f t="shared" si="33"/>
        <v/>
      </c>
      <c r="B882" s="328"/>
    </row>
    <row r="883" spans="1:2">
      <c r="A883" s="328" t="str">
        <f t="shared" si="33"/>
        <v/>
      </c>
      <c r="B883" s="328"/>
    </row>
    <row r="884" spans="1:2">
      <c r="A884" s="328" t="str">
        <f t="shared" si="33"/>
        <v/>
      </c>
      <c r="B884" s="328"/>
    </row>
    <row r="885" spans="1:2">
      <c r="A885" s="328" t="str">
        <f t="shared" si="33"/>
        <v/>
      </c>
      <c r="B885" s="328"/>
    </row>
    <row r="886" spans="1:2">
      <c r="A886" s="328" t="str">
        <f t="shared" si="33"/>
        <v/>
      </c>
      <c r="B886" s="328"/>
    </row>
    <row r="887" spans="1:2">
      <c r="A887" s="328" t="str">
        <f t="shared" si="33"/>
        <v/>
      </c>
      <c r="B887" s="328"/>
    </row>
    <row r="888" spans="1:2">
      <c r="A888" s="328" t="str">
        <f t="shared" si="33"/>
        <v/>
      </c>
      <c r="B888" s="328"/>
    </row>
    <row r="889" spans="1:2">
      <c r="A889" s="328" t="str">
        <f t="shared" si="33"/>
        <v/>
      </c>
      <c r="B889" s="328"/>
    </row>
    <row r="890" spans="1:2">
      <c r="A890" s="328" t="str">
        <f t="shared" si="33"/>
        <v/>
      </c>
      <c r="B890" s="328"/>
    </row>
    <row r="891" spans="1:2">
      <c r="A891" s="328" t="str">
        <f t="shared" si="33"/>
        <v/>
      </c>
      <c r="B891" s="328"/>
    </row>
    <row r="892" spans="1:2">
      <c r="A892" s="328" t="str">
        <f t="shared" si="33"/>
        <v/>
      </c>
      <c r="B892" s="328"/>
    </row>
    <row r="893" spans="1:2">
      <c r="A893" s="328" t="str">
        <f t="shared" si="33"/>
        <v/>
      </c>
      <c r="B893" s="328"/>
    </row>
    <row r="894" spans="1:2">
      <c r="A894" s="328" t="str">
        <f t="shared" si="33"/>
        <v/>
      </c>
      <c r="B894" s="328"/>
    </row>
    <row r="895" spans="1:2">
      <c r="A895" s="328" t="str">
        <f t="shared" si="33"/>
        <v/>
      </c>
      <c r="B895" s="328"/>
    </row>
    <row r="896" spans="1:2">
      <c r="A896" s="328" t="str">
        <f t="shared" si="33"/>
        <v/>
      </c>
      <c r="B896" s="328"/>
    </row>
    <row r="897" spans="1:2">
      <c r="A897" s="328" t="str">
        <f t="shared" si="33"/>
        <v/>
      </c>
      <c r="B897" s="328"/>
    </row>
    <row r="898" spans="1:2">
      <c r="A898" s="328" t="str">
        <f t="shared" si="33"/>
        <v/>
      </c>
      <c r="B898" s="328"/>
    </row>
    <row r="899" spans="1:2">
      <c r="A899" s="328" t="str">
        <f t="shared" si="33"/>
        <v/>
      </c>
      <c r="B899" s="328"/>
    </row>
    <row r="900" spans="1:2">
      <c r="A900" s="328" t="str">
        <f t="shared" si="33"/>
        <v/>
      </c>
      <c r="B900" s="328"/>
    </row>
    <row r="901" spans="1:2">
      <c r="A901" s="328" t="str">
        <f t="shared" si="33"/>
        <v/>
      </c>
      <c r="B901" s="328"/>
    </row>
    <row r="902" spans="1:2">
      <c r="A902" s="328" t="str">
        <f t="shared" si="33"/>
        <v/>
      </c>
      <c r="B902" s="328"/>
    </row>
    <row r="903" spans="1:2">
      <c r="A903" s="328" t="str">
        <f t="shared" si="33"/>
        <v/>
      </c>
      <c r="B903" s="328"/>
    </row>
    <row r="904" spans="1:2">
      <c r="A904" s="328" t="str">
        <f t="shared" si="33"/>
        <v/>
      </c>
      <c r="B904" s="328"/>
    </row>
    <row r="905" spans="1:2">
      <c r="A905" s="328" t="str">
        <f t="shared" si="33"/>
        <v/>
      </c>
      <c r="B905" s="328"/>
    </row>
    <row r="906" spans="1:2">
      <c r="A906" s="328" t="str">
        <f t="shared" si="33"/>
        <v/>
      </c>
      <c r="B906" s="328"/>
    </row>
    <row r="907" spans="1:2">
      <c r="A907" s="328" t="str">
        <f t="shared" si="33"/>
        <v/>
      </c>
      <c r="B907" s="328"/>
    </row>
    <row r="908" spans="1:2">
      <c r="A908" s="328" t="str">
        <f t="shared" si="33"/>
        <v/>
      </c>
      <c r="B908" s="328"/>
    </row>
    <row r="909" spans="1:2">
      <c r="A909" s="328" t="str">
        <f t="shared" si="33"/>
        <v/>
      </c>
      <c r="B909" s="328"/>
    </row>
    <row r="910" spans="1:2">
      <c r="A910" s="328" t="str">
        <f t="shared" si="33"/>
        <v/>
      </c>
      <c r="B910" s="328"/>
    </row>
    <row r="911" spans="1:2">
      <c r="A911" s="328" t="str">
        <f t="shared" si="33"/>
        <v/>
      </c>
      <c r="B911" s="328"/>
    </row>
    <row r="912" spans="1:2">
      <c r="A912" s="328" t="str">
        <f t="shared" si="33"/>
        <v/>
      </c>
      <c r="B912" s="328"/>
    </row>
    <row r="913" spans="1:2">
      <c r="A913" s="328" t="str">
        <f t="shared" si="33"/>
        <v/>
      </c>
      <c r="B913" s="328"/>
    </row>
    <row r="914" spans="1:2">
      <c r="A914" s="328" t="str">
        <f t="shared" si="33"/>
        <v/>
      </c>
      <c r="B914" s="328"/>
    </row>
    <row r="915" spans="1:2">
      <c r="A915" s="328" t="str">
        <f t="shared" si="33"/>
        <v/>
      </c>
      <c r="B915" s="328"/>
    </row>
    <row r="916" spans="1:2">
      <c r="A916" s="328" t="str">
        <f t="shared" si="33"/>
        <v/>
      </c>
      <c r="B916" s="328"/>
    </row>
    <row r="917" spans="1:2">
      <c r="A917" s="328" t="str">
        <f t="shared" si="33"/>
        <v/>
      </c>
      <c r="B917" s="328"/>
    </row>
    <row r="918" spans="1:2">
      <c r="A918" s="328" t="str">
        <f t="shared" si="33"/>
        <v/>
      </c>
      <c r="B918" s="328"/>
    </row>
    <row r="919" spans="1:2">
      <c r="A919" s="328" t="str">
        <f t="shared" si="33"/>
        <v/>
      </c>
      <c r="B919" s="328"/>
    </row>
    <row r="920" spans="1:2">
      <c r="A920" s="328" t="str">
        <f t="shared" si="33"/>
        <v/>
      </c>
      <c r="B920" s="328"/>
    </row>
    <row r="921" spans="1:2">
      <c r="A921" s="328" t="str">
        <f t="shared" si="33"/>
        <v/>
      </c>
      <c r="B921" s="328"/>
    </row>
    <row r="922" spans="1:2">
      <c r="A922" s="328" t="str">
        <f t="shared" si="33"/>
        <v/>
      </c>
      <c r="B922" s="328"/>
    </row>
    <row r="923" spans="1:2">
      <c r="A923" s="328" t="str">
        <f t="shared" si="33"/>
        <v/>
      </c>
      <c r="B923" s="328"/>
    </row>
    <row r="924" spans="1:2">
      <c r="A924" s="328" t="str">
        <f t="shared" si="33"/>
        <v/>
      </c>
      <c r="B924" s="328"/>
    </row>
    <row r="925" spans="1:2">
      <c r="A925" s="328" t="str">
        <f t="shared" si="33"/>
        <v/>
      </c>
      <c r="B925" s="328"/>
    </row>
    <row r="926" spans="1:2">
      <c r="A926" s="328" t="str">
        <f t="shared" si="33"/>
        <v/>
      </c>
      <c r="B926" s="328"/>
    </row>
    <row r="927" spans="1:2">
      <c r="A927" s="328" t="str">
        <f t="shared" si="33"/>
        <v/>
      </c>
      <c r="B927" s="328"/>
    </row>
    <row r="928" spans="1:2">
      <c r="A928" s="328" t="str">
        <f t="shared" si="33"/>
        <v/>
      </c>
      <c r="B928" s="328"/>
    </row>
    <row r="929" spans="1:2">
      <c r="A929" s="328" t="str">
        <f t="shared" si="33"/>
        <v/>
      </c>
      <c r="B929" s="328"/>
    </row>
    <row r="930" spans="1:2">
      <c r="A930" s="328" t="str">
        <f t="shared" si="33"/>
        <v/>
      </c>
      <c r="B930" s="328"/>
    </row>
    <row r="931" spans="1:2">
      <c r="A931" s="328" t="str">
        <f t="shared" si="33"/>
        <v/>
      </c>
      <c r="B931" s="328"/>
    </row>
    <row r="932" spans="1:2">
      <c r="A932" s="328" t="str">
        <f t="shared" si="33"/>
        <v/>
      </c>
      <c r="B932" s="328"/>
    </row>
    <row r="933" spans="1:2">
      <c r="A933" s="328" t="str">
        <f t="shared" si="33"/>
        <v/>
      </c>
      <c r="B933" s="328"/>
    </row>
    <row r="934" spans="1:2">
      <c r="A934" s="328" t="str">
        <f t="shared" ref="A934:A997" si="34">IF(ROW()-6&gt;$C$2,"",$C$3*(ROW()-6))</f>
        <v/>
      </c>
      <c r="B934" s="328"/>
    </row>
    <row r="935" spans="1:2">
      <c r="A935" s="328" t="str">
        <f t="shared" si="34"/>
        <v/>
      </c>
      <c r="B935" s="328"/>
    </row>
    <row r="936" spans="1:2">
      <c r="A936" s="328" t="str">
        <f t="shared" si="34"/>
        <v/>
      </c>
      <c r="B936" s="328"/>
    </row>
    <row r="937" spans="1:2">
      <c r="A937" s="328" t="str">
        <f t="shared" si="34"/>
        <v/>
      </c>
      <c r="B937" s="328"/>
    </row>
    <row r="938" spans="1:2">
      <c r="A938" s="328" t="str">
        <f t="shared" si="34"/>
        <v/>
      </c>
      <c r="B938" s="328"/>
    </row>
    <row r="939" spans="1:2">
      <c r="A939" s="328" t="str">
        <f t="shared" si="34"/>
        <v/>
      </c>
      <c r="B939" s="328"/>
    </row>
    <row r="940" spans="1:2">
      <c r="A940" s="328" t="str">
        <f t="shared" si="34"/>
        <v/>
      </c>
      <c r="B940" s="328"/>
    </row>
    <row r="941" spans="1:2">
      <c r="A941" s="328" t="str">
        <f t="shared" si="34"/>
        <v/>
      </c>
      <c r="B941" s="328"/>
    </row>
    <row r="942" spans="1:2">
      <c r="A942" s="328" t="str">
        <f t="shared" si="34"/>
        <v/>
      </c>
      <c r="B942" s="328"/>
    </row>
    <row r="943" spans="1:2">
      <c r="A943" s="328" t="str">
        <f t="shared" si="34"/>
        <v/>
      </c>
      <c r="B943" s="328"/>
    </row>
    <row r="944" spans="1:2">
      <c r="A944" s="328" t="str">
        <f t="shared" si="34"/>
        <v/>
      </c>
      <c r="B944" s="328"/>
    </row>
    <row r="945" spans="1:2">
      <c r="A945" s="328" t="str">
        <f t="shared" si="34"/>
        <v/>
      </c>
      <c r="B945" s="328"/>
    </row>
    <row r="946" spans="1:2">
      <c r="A946" s="328" t="str">
        <f t="shared" si="34"/>
        <v/>
      </c>
      <c r="B946" s="328"/>
    </row>
    <row r="947" spans="1:2">
      <c r="A947" s="328" t="str">
        <f t="shared" si="34"/>
        <v/>
      </c>
      <c r="B947" s="328"/>
    </row>
    <row r="948" spans="1:2">
      <c r="A948" s="328" t="str">
        <f t="shared" si="34"/>
        <v/>
      </c>
      <c r="B948" s="328"/>
    </row>
    <row r="949" spans="1:2">
      <c r="A949" s="328" t="str">
        <f t="shared" si="34"/>
        <v/>
      </c>
      <c r="B949" s="328"/>
    </row>
    <row r="950" spans="1:2">
      <c r="A950" s="328" t="str">
        <f t="shared" si="34"/>
        <v/>
      </c>
      <c r="B950" s="328"/>
    </row>
    <row r="951" spans="1:2">
      <c r="A951" s="328" t="str">
        <f t="shared" si="34"/>
        <v/>
      </c>
      <c r="B951" s="328"/>
    </row>
    <row r="952" spans="1:2">
      <c r="A952" s="328" t="str">
        <f t="shared" si="34"/>
        <v/>
      </c>
      <c r="B952" s="328"/>
    </row>
    <row r="953" spans="1:2">
      <c r="A953" s="328" t="str">
        <f t="shared" si="34"/>
        <v/>
      </c>
      <c r="B953" s="328"/>
    </row>
    <row r="954" spans="1:2">
      <c r="A954" s="328" t="str">
        <f t="shared" si="34"/>
        <v/>
      </c>
      <c r="B954" s="328"/>
    </row>
    <row r="955" spans="1:2">
      <c r="A955" s="328" t="str">
        <f t="shared" si="34"/>
        <v/>
      </c>
      <c r="B955" s="328"/>
    </row>
    <row r="956" spans="1:2">
      <c r="A956" s="328" t="str">
        <f t="shared" si="34"/>
        <v/>
      </c>
      <c r="B956" s="328"/>
    </row>
    <row r="957" spans="1:2">
      <c r="A957" s="328" t="str">
        <f t="shared" si="34"/>
        <v/>
      </c>
      <c r="B957" s="328"/>
    </row>
    <row r="958" spans="1:2">
      <c r="A958" s="328" t="str">
        <f t="shared" si="34"/>
        <v/>
      </c>
      <c r="B958" s="328"/>
    </row>
    <row r="959" spans="1:2">
      <c r="A959" s="328" t="str">
        <f t="shared" si="34"/>
        <v/>
      </c>
      <c r="B959" s="328"/>
    </row>
    <row r="960" spans="1:2">
      <c r="A960" s="328" t="str">
        <f t="shared" si="34"/>
        <v/>
      </c>
      <c r="B960" s="328"/>
    </row>
    <row r="961" spans="1:2">
      <c r="A961" s="328" t="str">
        <f t="shared" si="34"/>
        <v/>
      </c>
      <c r="B961" s="328"/>
    </row>
    <row r="962" spans="1:2">
      <c r="A962" s="328" t="str">
        <f t="shared" si="34"/>
        <v/>
      </c>
      <c r="B962" s="328"/>
    </row>
    <row r="963" spans="1:2">
      <c r="A963" s="328" t="str">
        <f t="shared" si="34"/>
        <v/>
      </c>
      <c r="B963" s="328"/>
    </row>
    <row r="964" spans="1:2">
      <c r="A964" s="328" t="str">
        <f t="shared" si="34"/>
        <v/>
      </c>
      <c r="B964" s="328"/>
    </row>
    <row r="965" spans="1:2">
      <c r="A965" s="328" t="str">
        <f t="shared" si="34"/>
        <v/>
      </c>
      <c r="B965" s="328"/>
    </row>
    <row r="966" spans="1:2">
      <c r="A966" s="328" t="str">
        <f t="shared" si="34"/>
        <v/>
      </c>
      <c r="B966" s="328"/>
    </row>
    <row r="967" spans="1:2">
      <c r="A967" s="328" t="str">
        <f t="shared" si="34"/>
        <v/>
      </c>
      <c r="B967" s="328"/>
    </row>
    <row r="968" spans="1:2">
      <c r="A968" s="328" t="str">
        <f t="shared" si="34"/>
        <v/>
      </c>
      <c r="B968" s="328"/>
    </row>
    <row r="969" spans="1:2">
      <c r="A969" s="328" t="str">
        <f t="shared" si="34"/>
        <v/>
      </c>
      <c r="B969" s="328"/>
    </row>
    <row r="970" spans="1:2">
      <c r="A970" s="328" t="str">
        <f t="shared" si="34"/>
        <v/>
      </c>
      <c r="B970" s="328"/>
    </row>
    <row r="971" spans="1:2">
      <c r="A971" s="328" t="str">
        <f t="shared" si="34"/>
        <v/>
      </c>
      <c r="B971" s="328"/>
    </row>
    <row r="972" spans="1:2">
      <c r="A972" s="328" t="str">
        <f t="shared" si="34"/>
        <v/>
      </c>
      <c r="B972" s="328"/>
    </row>
    <row r="973" spans="1:2">
      <c r="A973" s="328" t="str">
        <f t="shared" si="34"/>
        <v/>
      </c>
      <c r="B973" s="328"/>
    </row>
    <row r="974" spans="1:2">
      <c r="A974" s="328" t="str">
        <f t="shared" si="34"/>
        <v/>
      </c>
      <c r="B974" s="328"/>
    </row>
    <row r="975" spans="1:2">
      <c r="A975" s="328" t="str">
        <f t="shared" si="34"/>
        <v/>
      </c>
      <c r="B975" s="328"/>
    </row>
    <row r="976" spans="1:2">
      <c r="A976" s="328" t="str">
        <f t="shared" si="34"/>
        <v/>
      </c>
      <c r="B976" s="328"/>
    </row>
    <row r="977" spans="1:2">
      <c r="A977" s="328" t="str">
        <f t="shared" si="34"/>
        <v/>
      </c>
      <c r="B977" s="328"/>
    </row>
    <row r="978" spans="1:2">
      <c r="A978" s="328" t="str">
        <f t="shared" si="34"/>
        <v/>
      </c>
      <c r="B978" s="328"/>
    </row>
    <row r="979" spans="1:2">
      <c r="A979" s="328" t="str">
        <f t="shared" si="34"/>
        <v/>
      </c>
      <c r="B979" s="328"/>
    </row>
    <row r="980" spans="1:2">
      <c r="A980" s="328" t="str">
        <f t="shared" si="34"/>
        <v/>
      </c>
      <c r="B980" s="328"/>
    </row>
    <row r="981" spans="1:2">
      <c r="A981" s="328" t="str">
        <f t="shared" si="34"/>
        <v/>
      </c>
      <c r="B981" s="328"/>
    </row>
    <row r="982" spans="1:2">
      <c r="A982" s="328" t="str">
        <f t="shared" si="34"/>
        <v/>
      </c>
      <c r="B982" s="328"/>
    </row>
    <row r="983" spans="1:2">
      <c r="A983" s="328" t="str">
        <f t="shared" si="34"/>
        <v/>
      </c>
      <c r="B983" s="328"/>
    </row>
    <row r="984" spans="1:2">
      <c r="A984" s="328" t="str">
        <f t="shared" si="34"/>
        <v/>
      </c>
      <c r="B984" s="328"/>
    </row>
    <row r="985" spans="1:2">
      <c r="A985" s="328" t="str">
        <f t="shared" si="34"/>
        <v/>
      </c>
      <c r="B985" s="328"/>
    </row>
    <row r="986" spans="1:2">
      <c r="A986" s="328" t="str">
        <f t="shared" si="34"/>
        <v/>
      </c>
      <c r="B986" s="328"/>
    </row>
    <row r="987" spans="1:2">
      <c r="A987" s="328" t="str">
        <f t="shared" si="34"/>
        <v/>
      </c>
      <c r="B987" s="328"/>
    </row>
    <row r="988" spans="1:2">
      <c r="A988" s="328" t="str">
        <f t="shared" si="34"/>
        <v/>
      </c>
      <c r="B988" s="328"/>
    </row>
    <row r="989" spans="1:2">
      <c r="A989" s="328" t="str">
        <f t="shared" si="34"/>
        <v/>
      </c>
      <c r="B989" s="328"/>
    </row>
    <row r="990" spans="1:2">
      <c r="A990" s="328" t="str">
        <f t="shared" si="34"/>
        <v/>
      </c>
      <c r="B990" s="328"/>
    </row>
    <row r="991" spans="1:2">
      <c r="A991" s="328" t="str">
        <f t="shared" si="34"/>
        <v/>
      </c>
      <c r="B991" s="328"/>
    </row>
    <row r="992" spans="1:2">
      <c r="A992" s="328" t="str">
        <f t="shared" si="34"/>
        <v/>
      </c>
      <c r="B992" s="328"/>
    </row>
    <row r="993" spans="1:2">
      <c r="A993" s="328" t="str">
        <f t="shared" si="34"/>
        <v/>
      </c>
      <c r="B993" s="328"/>
    </row>
    <row r="994" spans="1:2">
      <c r="A994" s="328" t="str">
        <f t="shared" si="34"/>
        <v/>
      </c>
      <c r="B994" s="328"/>
    </row>
    <row r="995" spans="1:2">
      <c r="A995" s="328" t="str">
        <f t="shared" si="34"/>
        <v/>
      </c>
      <c r="B995" s="328"/>
    </row>
    <row r="996" spans="1:2">
      <c r="A996" s="328" t="str">
        <f t="shared" si="34"/>
        <v/>
      </c>
      <c r="B996" s="328"/>
    </row>
    <row r="997" spans="1:2">
      <c r="A997" s="328" t="str">
        <f t="shared" si="34"/>
        <v/>
      </c>
      <c r="B997" s="328"/>
    </row>
    <row r="998" spans="1:2">
      <c r="A998" s="328" t="str">
        <f t="shared" ref="A998:A1061" si="35">IF(ROW()-6&gt;$C$2,"",$C$3*(ROW()-6))</f>
        <v/>
      </c>
      <c r="B998" s="328"/>
    </row>
    <row r="999" spans="1:2">
      <c r="A999" s="328" t="str">
        <f t="shared" si="35"/>
        <v/>
      </c>
      <c r="B999" s="328"/>
    </row>
    <row r="1000" spans="1:2">
      <c r="A1000" s="328" t="str">
        <f t="shared" si="35"/>
        <v/>
      </c>
      <c r="B1000" s="328"/>
    </row>
    <row r="1001" spans="1:2">
      <c r="A1001" s="328" t="str">
        <f t="shared" si="35"/>
        <v/>
      </c>
      <c r="B1001" s="328"/>
    </row>
    <row r="1002" spans="1:2">
      <c r="A1002" s="328" t="str">
        <f t="shared" si="35"/>
        <v/>
      </c>
      <c r="B1002" s="328"/>
    </row>
    <row r="1003" spans="1:2">
      <c r="A1003" s="328" t="str">
        <f t="shared" si="35"/>
        <v/>
      </c>
      <c r="B1003" s="328"/>
    </row>
    <row r="1004" spans="1:2">
      <c r="A1004" s="328" t="str">
        <f t="shared" si="35"/>
        <v/>
      </c>
      <c r="B1004" s="328"/>
    </row>
    <row r="1005" spans="1:2">
      <c r="A1005" s="328" t="str">
        <f t="shared" si="35"/>
        <v/>
      </c>
      <c r="B1005" s="328"/>
    </row>
    <row r="1006" spans="1:2">
      <c r="A1006" s="328" t="str">
        <f t="shared" si="35"/>
        <v/>
      </c>
      <c r="B1006" s="328"/>
    </row>
    <row r="1007" spans="1:2">
      <c r="A1007" s="328" t="str">
        <f t="shared" si="35"/>
        <v/>
      </c>
      <c r="B1007" s="328"/>
    </row>
    <row r="1008" spans="1:2">
      <c r="A1008" s="328" t="str">
        <f t="shared" si="35"/>
        <v/>
      </c>
      <c r="B1008" s="328"/>
    </row>
    <row r="1009" spans="1:2">
      <c r="A1009" s="328" t="str">
        <f t="shared" si="35"/>
        <v/>
      </c>
      <c r="B1009" s="328"/>
    </row>
    <row r="1010" spans="1:2">
      <c r="A1010" s="328" t="str">
        <f t="shared" si="35"/>
        <v/>
      </c>
      <c r="B1010" s="328"/>
    </row>
    <row r="1011" spans="1:2">
      <c r="A1011" s="328" t="str">
        <f t="shared" si="35"/>
        <v/>
      </c>
      <c r="B1011" s="328"/>
    </row>
    <row r="1012" spans="1:2">
      <c r="A1012" s="328" t="str">
        <f t="shared" si="35"/>
        <v/>
      </c>
      <c r="B1012" s="328"/>
    </row>
    <row r="1013" spans="1:2">
      <c r="A1013" s="328" t="str">
        <f t="shared" si="35"/>
        <v/>
      </c>
      <c r="B1013" s="328"/>
    </row>
    <row r="1014" spans="1:2">
      <c r="A1014" s="328" t="str">
        <f t="shared" si="35"/>
        <v/>
      </c>
      <c r="B1014" s="328"/>
    </row>
    <row r="1015" spans="1:2">
      <c r="A1015" s="328" t="str">
        <f t="shared" si="35"/>
        <v/>
      </c>
      <c r="B1015" s="328"/>
    </row>
    <row r="1016" spans="1:2">
      <c r="A1016" s="328" t="str">
        <f t="shared" si="35"/>
        <v/>
      </c>
      <c r="B1016" s="328"/>
    </row>
    <row r="1017" spans="1:2">
      <c r="A1017" s="328" t="str">
        <f t="shared" si="35"/>
        <v/>
      </c>
      <c r="B1017" s="328"/>
    </row>
    <row r="1018" spans="1:2">
      <c r="A1018" s="328" t="str">
        <f t="shared" si="35"/>
        <v/>
      </c>
      <c r="B1018" s="328"/>
    </row>
    <row r="1019" spans="1:2">
      <c r="A1019" s="328" t="str">
        <f t="shared" si="35"/>
        <v/>
      </c>
      <c r="B1019" s="328"/>
    </row>
    <row r="1020" spans="1:2">
      <c r="A1020" s="328" t="str">
        <f t="shared" si="35"/>
        <v/>
      </c>
      <c r="B1020" s="328"/>
    </row>
    <row r="1021" spans="1:2">
      <c r="A1021" s="328" t="str">
        <f t="shared" si="35"/>
        <v/>
      </c>
      <c r="B1021" s="328"/>
    </row>
    <row r="1022" spans="1:2">
      <c r="A1022" s="328" t="str">
        <f t="shared" si="35"/>
        <v/>
      </c>
      <c r="B1022" s="328"/>
    </row>
    <row r="1023" spans="1:2">
      <c r="A1023" s="328" t="str">
        <f t="shared" si="35"/>
        <v/>
      </c>
      <c r="B1023" s="328"/>
    </row>
    <row r="1024" spans="1:2">
      <c r="A1024" s="328" t="str">
        <f t="shared" si="35"/>
        <v/>
      </c>
      <c r="B1024" s="328"/>
    </row>
    <row r="1025" spans="1:2">
      <c r="A1025" s="328" t="str">
        <f t="shared" si="35"/>
        <v/>
      </c>
      <c r="B1025" s="328"/>
    </row>
    <row r="1026" spans="1:2">
      <c r="A1026" s="328" t="str">
        <f t="shared" si="35"/>
        <v/>
      </c>
      <c r="B1026" s="328"/>
    </row>
    <row r="1027" spans="1:2">
      <c r="A1027" s="328" t="str">
        <f t="shared" si="35"/>
        <v/>
      </c>
      <c r="B1027" s="328"/>
    </row>
    <row r="1028" spans="1:2">
      <c r="A1028" s="328" t="str">
        <f t="shared" si="35"/>
        <v/>
      </c>
      <c r="B1028" s="328"/>
    </row>
    <row r="1029" spans="1:2">
      <c r="A1029" s="328" t="str">
        <f t="shared" si="35"/>
        <v/>
      </c>
      <c r="B1029" s="328"/>
    </row>
    <row r="1030" spans="1:2">
      <c r="A1030" s="328" t="str">
        <f t="shared" si="35"/>
        <v/>
      </c>
      <c r="B1030" s="328"/>
    </row>
    <row r="1031" spans="1:2">
      <c r="A1031" s="328" t="str">
        <f t="shared" si="35"/>
        <v/>
      </c>
      <c r="B1031" s="328"/>
    </row>
    <row r="1032" spans="1:2">
      <c r="A1032" s="328" t="str">
        <f t="shared" si="35"/>
        <v/>
      </c>
      <c r="B1032" s="328"/>
    </row>
    <row r="1033" spans="1:2">
      <c r="A1033" s="328" t="str">
        <f t="shared" si="35"/>
        <v/>
      </c>
      <c r="B1033" s="328"/>
    </row>
    <row r="1034" spans="1:2">
      <c r="A1034" s="328" t="str">
        <f t="shared" si="35"/>
        <v/>
      </c>
      <c r="B1034" s="328"/>
    </row>
    <row r="1035" spans="1:2">
      <c r="A1035" s="328" t="str">
        <f t="shared" si="35"/>
        <v/>
      </c>
      <c r="B1035" s="328"/>
    </row>
    <row r="1036" spans="1:2">
      <c r="A1036" s="328" t="str">
        <f t="shared" si="35"/>
        <v/>
      </c>
      <c r="B1036" s="328"/>
    </row>
    <row r="1037" spans="1:2">
      <c r="A1037" s="328" t="str">
        <f t="shared" si="35"/>
        <v/>
      </c>
      <c r="B1037" s="328"/>
    </row>
    <row r="1038" spans="1:2">
      <c r="A1038" s="328" t="str">
        <f t="shared" si="35"/>
        <v/>
      </c>
      <c r="B1038" s="328"/>
    </row>
    <row r="1039" spans="1:2">
      <c r="A1039" s="328" t="str">
        <f t="shared" si="35"/>
        <v/>
      </c>
      <c r="B1039" s="328"/>
    </row>
    <row r="1040" spans="1:2">
      <c r="A1040" s="328" t="str">
        <f t="shared" si="35"/>
        <v/>
      </c>
      <c r="B1040" s="328"/>
    </row>
    <row r="1041" spans="1:2">
      <c r="A1041" s="328" t="str">
        <f t="shared" si="35"/>
        <v/>
      </c>
      <c r="B1041" s="328"/>
    </row>
    <row r="1042" spans="1:2">
      <c r="A1042" s="328" t="str">
        <f t="shared" si="35"/>
        <v/>
      </c>
      <c r="B1042" s="328"/>
    </row>
    <row r="1043" spans="1:2">
      <c r="A1043" s="328" t="str">
        <f t="shared" si="35"/>
        <v/>
      </c>
      <c r="B1043" s="328"/>
    </row>
    <row r="1044" spans="1:2">
      <c r="A1044" s="328" t="str">
        <f t="shared" si="35"/>
        <v/>
      </c>
      <c r="B1044" s="328"/>
    </row>
    <row r="1045" spans="1:2">
      <c r="A1045" s="328" t="str">
        <f t="shared" si="35"/>
        <v/>
      </c>
      <c r="B1045" s="328"/>
    </row>
    <row r="1046" spans="1:2">
      <c r="A1046" s="328" t="str">
        <f t="shared" si="35"/>
        <v/>
      </c>
      <c r="B1046" s="328"/>
    </row>
    <row r="1047" spans="1:2">
      <c r="A1047" s="328" t="str">
        <f t="shared" si="35"/>
        <v/>
      </c>
      <c r="B1047" s="328"/>
    </row>
    <row r="1048" spans="1:2">
      <c r="A1048" s="328" t="str">
        <f t="shared" si="35"/>
        <v/>
      </c>
      <c r="B1048" s="328"/>
    </row>
    <row r="1049" spans="1:2">
      <c r="A1049" s="328" t="str">
        <f t="shared" si="35"/>
        <v/>
      </c>
      <c r="B1049" s="328"/>
    </row>
    <row r="1050" spans="1:2">
      <c r="A1050" s="328" t="str">
        <f t="shared" si="35"/>
        <v/>
      </c>
      <c r="B1050" s="328"/>
    </row>
    <row r="1051" spans="1:2">
      <c r="A1051" s="328" t="str">
        <f t="shared" si="35"/>
        <v/>
      </c>
      <c r="B1051" s="328"/>
    </row>
    <row r="1052" spans="1:2">
      <c r="A1052" s="328" t="str">
        <f t="shared" si="35"/>
        <v/>
      </c>
      <c r="B1052" s="328"/>
    </row>
    <row r="1053" spans="1:2">
      <c r="A1053" s="328" t="str">
        <f t="shared" si="35"/>
        <v/>
      </c>
      <c r="B1053" s="328"/>
    </row>
    <row r="1054" spans="1:2">
      <c r="A1054" s="328" t="str">
        <f t="shared" si="35"/>
        <v/>
      </c>
      <c r="B1054" s="328"/>
    </row>
    <row r="1055" spans="1:2">
      <c r="A1055" s="328" t="str">
        <f t="shared" si="35"/>
        <v/>
      </c>
      <c r="B1055" s="328"/>
    </row>
    <row r="1056" spans="1:2">
      <c r="A1056" s="328" t="str">
        <f t="shared" si="35"/>
        <v/>
      </c>
      <c r="B1056" s="328"/>
    </row>
    <row r="1057" spans="1:2">
      <c r="A1057" s="328" t="str">
        <f t="shared" si="35"/>
        <v/>
      </c>
      <c r="B1057" s="328"/>
    </row>
    <row r="1058" spans="1:2">
      <c r="A1058" s="328" t="str">
        <f t="shared" si="35"/>
        <v/>
      </c>
      <c r="B1058" s="328"/>
    </row>
    <row r="1059" spans="1:2">
      <c r="A1059" s="328" t="str">
        <f t="shared" si="35"/>
        <v/>
      </c>
      <c r="B1059" s="328"/>
    </row>
    <row r="1060" spans="1:2">
      <c r="A1060" s="328" t="str">
        <f t="shared" si="35"/>
        <v/>
      </c>
      <c r="B1060" s="328"/>
    </row>
    <row r="1061" spans="1:2">
      <c r="A1061" s="328" t="str">
        <f t="shared" si="35"/>
        <v/>
      </c>
      <c r="B1061" s="328"/>
    </row>
    <row r="1062" spans="1:2">
      <c r="A1062" s="328" t="str">
        <f t="shared" ref="A1062:A1125" si="36">IF(ROW()-6&gt;$C$2,"",$C$3*(ROW()-6))</f>
        <v/>
      </c>
      <c r="B1062" s="328"/>
    </row>
    <row r="1063" spans="1:2">
      <c r="A1063" s="328" t="str">
        <f t="shared" si="36"/>
        <v/>
      </c>
      <c r="B1063" s="328"/>
    </row>
    <row r="1064" spans="1:2">
      <c r="A1064" s="328" t="str">
        <f t="shared" si="36"/>
        <v/>
      </c>
      <c r="B1064" s="328"/>
    </row>
    <row r="1065" spans="1:2">
      <c r="A1065" s="328" t="str">
        <f t="shared" si="36"/>
        <v/>
      </c>
      <c r="B1065" s="328"/>
    </row>
    <row r="1066" spans="1:2">
      <c r="A1066" s="328" t="str">
        <f t="shared" si="36"/>
        <v/>
      </c>
      <c r="B1066" s="328"/>
    </row>
    <row r="1067" spans="1:2">
      <c r="A1067" s="328" t="str">
        <f t="shared" si="36"/>
        <v/>
      </c>
      <c r="B1067" s="328"/>
    </row>
    <row r="1068" spans="1:2">
      <c r="A1068" s="328" t="str">
        <f t="shared" si="36"/>
        <v/>
      </c>
      <c r="B1068" s="328"/>
    </row>
    <row r="1069" spans="1:2">
      <c r="A1069" s="328" t="str">
        <f t="shared" si="36"/>
        <v/>
      </c>
      <c r="B1069" s="328"/>
    </row>
    <row r="1070" spans="1:2">
      <c r="A1070" s="328" t="str">
        <f t="shared" si="36"/>
        <v/>
      </c>
      <c r="B1070" s="328"/>
    </row>
    <row r="1071" spans="1:2">
      <c r="A1071" s="328" t="str">
        <f t="shared" si="36"/>
        <v/>
      </c>
      <c r="B1071" s="328"/>
    </row>
    <row r="1072" spans="1:2">
      <c r="A1072" s="328" t="str">
        <f t="shared" si="36"/>
        <v/>
      </c>
      <c r="B1072" s="328"/>
    </row>
    <row r="1073" spans="1:2">
      <c r="A1073" s="328" t="str">
        <f t="shared" si="36"/>
        <v/>
      </c>
      <c r="B1073" s="328"/>
    </row>
    <row r="1074" spans="1:2">
      <c r="A1074" s="328" t="str">
        <f t="shared" si="36"/>
        <v/>
      </c>
      <c r="B1074" s="328"/>
    </row>
    <row r="1075" spans="1:2">
      <c r="A1075" s="328" t="str">
        <f t="shared" si="36"/>
        <v/>
      </c>
      <c r="B1075" s="328"/>
    </row>
    <row r="1076" spans="1:2">
      <c r="A1076" s="328" t="str">
        <f t="shared" si="36"/>
        <v/>
      </c>
      <c r="B1076" s="328"/>
    </row>
    <row r="1077" spans="1:2">
      <c r="A1077" s="328" t="str">
        <f t="shared" si="36"/>
        <v/>
      </c>
      <c r="B1077" s="328"/>
    </row>
    <row r="1078" spans="1:2">
      <c r="A1078" s="328" t="str">
        <f t="shared" si="36"/>
        <v/>
      </c>
      <c r="B1078" s="328"/>
    </row>
    <row r="1079" spans="1:2">
      <c r="A1079" s="328" t="str">
        <f t="shared" si="36"/>
        <v/>
      </c>
      <c r="B1079" s="328"/>
    </row>
    <row r="1080" spans="1:2">
      <c r="A1080" s="328" t="str">
        <f t="shared" si="36"/>
        <v/>
      </c>
      <c r="B1080" s="328"/>
    </row>
    <row r="1081" spans="1:2">
      <c r="A1081" s="328" t="str">
        <f t="shared" si="36"/>
        <v/>
      </c>
      <c r="B1081" s="328"/>
    </row>
    <row r="1082" spans="1:2">
      <c r="A1082" s="328" t="str">
        <f t="shared" si="36"/>
        <v/>
      </c>
      <c r="B1082" s="328"/>
    </row>
    <row r="1083" spans="1:2">
      <c r="A1083" s="328" t="str">
        <f t="shared" si="36"/>
        <v/>
      </c>
      <c r="B1083" s="328"/>
    </row>
    <row r="1084" spans="1:2">
      <c r="A1084" s="328" t="str">
        <f t="shared" si="36"/>
        <v/>
      </c>
      <c r="B1084" s="328"/>
    </row>
    <row r="1085" spans="1:2">
      <c r="A1085" s="328" t="str">
        <f t="shared" si="36"/>
        <v/>
      </c>
      <c r="B1085" s="328"/>
    </row>
    <row r="1086" spans="1:2">
      <c r="A1086" s="328" t="str">
        <f t="shared" si="36"/>
        <v/>
      </c>
      <c r="B1086" s="328"/>
    </row>
    <row r="1087" spans="1:2">
      <c r="A1087" s="328" t="str">
        <f t="shared" si="36"/>
        <v/>
      </c>
      <c r="B1087" s="328"/>
    </row>
    <row r="1088" spans="1:2">
      <c r="A1088" s="328" t="str">
        <f t="shared" si="36"/>
        <v/>
      </c>
      <c r="B1088" s="328"/>
    </row>
    <row r="1089" spans="1:2">
      <c r="A1089" s="328" t="str">
        <f t="shared" si="36"/>
        <v/>
      </c>
      <c r="B1089" s="328"/>
    </row>
    <row r="1090" spans="1:2">
      <c r="A1090" s="328" t="str">
        <f t="shared" si="36"/>
        <v/>
      </c>
      <c r="B1090" s="328"/>
    </row>
    <row r="1091" spans="1:2">
      <c r="A1091" s="328" t="str">
        <f t="shared" si="36"/>
        <v/>
      </c>
      <c r="B1091" s="328"/>
    </row>
    <row r="1092" spans="1:2">
      <c r="A1092" s="328" t="str">
        <f t="shared" si="36"/>
        <v/>
      </c>
      <c r="B1092" s="328"/>
    </row>
    <row r="1093" spans="1:2">
      <c r="A1093" s="328" t="str">
        <f t="shared" si="36"/>
        <v/>
      </c>
      <c r="B1093" s="328"/>
    </row>
    <row r="1094" spans="1:2">
      <c r="A1094" s="328" t="str">
        <f t="shared" si="36"/>
        <v/>
      </c>
      <c r="B1094" s="328"/>
    </row>
    <row r="1095" spans="1:2">
      <c r="A1095" s="328" t="str">
        <f t="shared" si="36"/>
        <v/>
      </c>
      <c r="B1095" s="328"/>
    </row>
    <row r="1096" spans="1:2">
      <c r="A1096" s="328" t="str">
        <f t="shared" si="36"/>
        <v/>
      </c>
      <c r="B1096" s="328"/>
    </row>
    <row r="1097" spans="1:2">
      <c r="A1097" s="328" t="str">
        <f t="shared" si="36"/>
        <v/>
      </c>
      <c r="B1097" s="328"/>
    </row>
    <row r="1098" spans="1:2">
      <c r="A1098" s="328" t="str">
        <f t="shared" si="36"/>
        <v/>
      </c>
      <c r="B1098" s="328"/>
    </row>
    <row r="1099" spans="1:2">
      <c r="A1099" s="328" t="str">
        <f t="shared" si="36"/>
        <v/>
      </c>
      <c r="B1099" s="328"/>
    </row>
    <row r="1100" spans="1:2">
      <c r="A1100" s="328" t="str">
        <f t="shared" si="36"/>
        <v/>
      </c>
      <c r="B1100" s="328"/>
    </row>
    <row r="1101" spans="1:2">
      <c r="A1101" s="328" t="str">
        <f t="shared" si="36"/>
        <v/>
      </c>
      <c r="B1101" s="328"/>
    </row>
    <row r="1102" spans="1:2">
      <c r="A1102" s="328" t="str">
        <f t="shared" si="36"/>
        <v/>
      </c>
      <c r="B1102" s="328"/>
    </row>
    <row r="1103" spans="1:2">
      <c r="A1103" s="328" t="str">
        <f t="shared" si="36"/>
        <v/>
      </c>
      <c r="B1103" s="328"/>
    </row>
    <row r="1104" spans="1:2">
      <c r="A1104" s="328" t="str">
        <f t="shared" si="36"/>
        <v/>
      </c>
      <c r="B1104" s="328"/>
    </row>
    <row r="1105" spans="1:2">
      <c r="A1105" s="328" t="str">
        <f t="shared" si="36"/>
        <v/>
      </c>
      <c r="B1105" s="328"/>
    </row>
    <row r="1106" spans="1:2">
      <c r="A1106" s="328" t="str">
        <f t="shared" si="36"/>
        <v/>
      </c>
      <c r="B1106" s="328"/>
    </row>
    <row r="1107" spans="1:2">
      <c r="A1107" s="328" t="str">
        <f t="shared" si="36"/>
        <v/>
      </c>
      <c r="B1107" s="328"/>
    </row>
    <row r="1108" spans="1:2">
      <c r="A1108" s="328" t="str">
        <f t="shared" si="36"/>
        <v/>
      </c>
      <c r="B1108" s="328"/>
    </row>
    <row r="1109" spans="1:2">
      <c r="A1109" s="328" t="str">
        <f t="shared" si="36"/>
        <v/>
      </c>
      <c r="B1109" s="328"/>
    </row>
    <row r="1110" spans="1:2">
      <c r="A1110" s="328" t="str">
        <f t="shared" si="36"/>
        <v/>
      </c>
      <c r="B1110" s="328"/>
    </row>
    <row r="1111" spans="1:2">
      <c r="A1111" s="328" t="str">
        <f t="shared" si="36"/>
        <v/>
      </c>
      <c r="B1111" s="328"/>
    </row>
    <row r="1112" spans="1:2">
      <c r="A1112" s="328" t="str">
        <f t="shared" si="36"/>
        <v/>
      </c>
      <c r="B1112" s="328"/>
    </row>
    <row r="1113" spans="1:2">
      <c r="A1113" s="328" t="str">
        <f t="shared" si="36"/>
        <v/>
      </c>
      <c r="B1113" s="328"/>
    </row>
    <row r="1114" spans="1:2">
      <c r="A1114" s="328" t="str">
        <f t="shared" si="36"/>
        <v/>
      </c>
      <c r="B1114" s="328"/>
    </row>
    <row r="1115" spans="1:2">
      <c r="A1115" s="328" t="str">
        <f t="shared" si="36"/>
        <v/>
      </c>
      <c r="B1115" s="328"/>
    </row>
    <row r="1116" spans="1:2">
      <c r="A1116" s="328" t="str">
        <f t="shared" si="36"/>
        <v/>
      </c>
      <c r="B1116" s="328"/>
    </row>
    <row r="1117" spans="1:2">
      <c r="A1117" s="328" t="str">
        <f t="shared" si="36"/>
        <v/>
      </c>
      <c r="B1117" s="328"/>
    </row>
    <row r="1118" spans="1:2">
      <c r="A1118" s="328" t="str">
        <f t="shared" si="36"/>
        <v/>
      </c>
      <c r="B1118" s="328"/>
    </row>
    <row r="1119" spans="1:2">
      <c r="A1119" s="328" t="str">
        <f t="shared" si="36"/>
        <v/>
      </c>
      <c r="B1119" s="328"/>
    </row>
    <row r="1120" spans="1:2">
      <c r="A1120" s="328" t="str">
        <f t="shared" si="36"/>
        <v/>
      </c>
      <c r="B1120" s="328"/>
    </row>
    <row r="1121" spans="1:2">
      <c r="A1121" s="328" t="str">
        <f t="shared" si="36"/>
        <v/>
      </c>
      <c r="B1121" s="328"/>
    </row>
    <row r="1122" spans="1:2">
      <c r="A1122" s="328" t="str">
        <f t="shared" si="36"/>
        <v/>
      </c>
      <c r="B1122" s="328"/>
    </row>
    <row r="1123" spans="1:2">
      <c r="A1123" s="328" t="str">
        <f t="shared" si="36"/>
        <v/>
      </c>
      <c r="B1123" s="328"/>
    </row>
    <row r="1124" spans="1:2">
      <c r="A1124" s="328" t="str">
        <f t="shared" si="36"/>
        <v/>
      </c>
      <c r="B1124" s="328"/>
    </row>
    <row r="1125" spans="1:2">
      <c r="A1125" s="328" t="str">
        <f t="shared" si="36"/>
        <v/>
      </c>
      <c r="B1125" s="328"/>
    </row>
    <row r="1126" spans="1:2">
      <c r="A1126" s="328" t="str">
        <f t="shared" ref="A1126:A1189" si="37">IF(ROW()-6&gt;$C$2,"",$C$3*(ROW()-6))</f>
        <v/>
      </c>
      <c r="B1126" s="328"/>
    </row>
    <row r="1127" spans="1:2">
      <c r="A1127" s="328" t="str">
        <f t="shared" si="37"/>
        <v/>
      </c>
      <c r="B1127" s="328"/>
    </row>
    <row r="1128" spans="1:2">
      <c r="A1128" s="328" t="str">
        <f t="shared" si="37"/>
        <v/>
      </c>
      <c r="B1128" s="328"/>
    </row>
    <row r="1129" spans="1:2">
      <c r="A1129" s="328" t="str">
        <f t="shared" si="37"/>
        <v/>
      </c>
      <c r="B1129" s="328"/>
    </row>
    <row r="1130" spans="1:2">
      <c r="A1130" s="328" t="str">
        <f t="shared" si="37"/>
        <v/>
      </c>
      <c r="B1130" s="328"/>
    </row>
    <row r="1131" spans="1:2">
      <c r="A1131" s="328" t="str">
        <f t="shared" si="37"/>
        <v/>
      </c>
      <c r="B1131" s="328"/>
    </row>
    <row r="1132" spans="1:2">
      <c r="A1132" s="328" t="str">
        <f t="shared" si="37"/>
        <v/>
      </c>
      <c r="B1132" s="328"/>
    </row>
    <row r="1133" spans="1:2">
      <c r="A1133" s="328" t="str">
        <f t="shared" si="37"/>
        <v/>
      </c>
      <c r="B1133" s="328"/>
    </row>
    <row r="1134" spans="1:2">
      <c r="A1134" s="328" t="str">
        <f t="shared" si="37"/>
        <v/>
      </c>
      <c r="B1134" s="328"/>
    </row>
    <row r="1135" spans="1:2">
      <c r="A1135" s="328" t="str">
        <f t="shared" si="37"/>
        <v/>
      </c>
      <c r="B1135" s="328"/>
    </row>
    <row r="1136" spans="1:2">
      <c r="A1136" s="328" t="str">
        <f t="shared" si="37"/>
        <v/>
      </c>
      <c r="B1136" s="328"/>
    </row>
    <row r="1137" spans="1:2">
      <c r="A1137" s="328" t="str">
        <f t="shared" si="37"/>
        <v/>
      </c>
      <c r="B1137" s="328"/>
    </row>
    <row r="1138" spans="1:2">
      <c r="A1138" s="328" t="str">
        <f t="shared" si="37"/>
        <v/>
      </c>
      <c r="B1138" s="328"/>
    </row>
    <row r="1139" spans="1:2">
      <c r="A1139" s="328" t="str">
        <f t="shared" si="37"/>
        <v/>
      </c>
      <c r="B1139" s="328"/>
    </row>
    <row r="1140" spans="1:2">
      <c r="A1140" s="328" t="str">
        <f t="shared" si="37"/>
        <v/>
      </c>
      <c r="B1140" s="328"/>
    </row>
    <row r="1141" spans="1:2">
      <c r="A1141" s="328" t="str">
        <f t="shared" si="37"/>
        <v/>
      </c>
      <c r="B1141" s="328"/>
    </row>
    <row r="1142" spans="1:2">
      <c r="A1142" s="328" t="str">
        <f t="shared" si="37"/>
        <v/>
      </c>
      <c r="B1142" s="328"/>
    </row>
    <row r="1143" spans="1:2">
      <c r="A1143" s="328" t="str">
        <f t="shared" si="37"/>
        <v/>
      </c>
      <c r="B1143" s="328"/>
    </row>
    <row r="1144" spans="1:2">
      <c r="A1144" s="328" t="str">
        <f t="shared" si="37"/>
        <v/>
      </c>
      <c r="B1144" s="328"/>
    </row>
    <row r="1145" spans="1:2">
      <c r="A1145" s="328" t="str">
        <f t="shared" si="37"/>
        <v/>
      </c>
      <c r="B1145" s="328"/>
    </row>
    <row r="1146" spans="1:2">
      <c r="A1146" s="328" t="str">
        <f t="shared" si="37"/>
        <v/>
      </c>
      <c r="B1146" s="328"/>
    </row>
    <row r="1147" spans="1:2">
      <c r="A1147" s="328" t="str">
        <f t="shared" si="37"/>
        <v/>
      </c>
      <c r="B1147" s="328"/>
    </row>
    <row r="1148" spans="1:2">
      <c r="A1148" s="328" t="str">
        <f t="shared" si="37"/>
        <v/>
      </c>
      <c r="B1148" s="328"/>
    </row>
    <row r="1149" spans="1:2">
      <c r="A1149" s="328" t="str">
        <f t="shared" si="37"/>
        <v/>
      </c>
      <c r="B1149" s="328"/>
    </row>
    <row r="1150" spans="1:2">
      <c r="A1150" s="328" t="str">
        <f t="shared" si="37"/>
        <v/>
      </c>
      <c r="B1150" s="328"/>
    </row>
    <row r="1151" spans="1:2">
      <c r="A1151" s="328" t="str">
        <f t="shared" si="37"/>
        <v/>
      </c>
      <c r="B1151" s="328"/>
    </row>
    <row r="1152" spans="1:2">
      <c r="A1152" s="328" t="str">
        <f t="shared" si="37"/>
        <v/>
      </c>
      <c r="B1152" s="328"/>
    </row>
    <row r="1153" spans="1:2">
      <c r="A1153" s="328" t="str">
        <f t="shared" si="37"/>
        <v/>
      </c>
      <c r="B1153" s="328"/>
    </row>
    <row r="1154" spans="1:2">
      <c r="A1154" s="328" t="str">
        <f t="shared" si="37"/>
        <v/>
      </c>
      <c r="B1154" s="328"/>
    </row>
    <row r="1155" spans="1:2">
      <c r="A1155" s="328" t="str">
        <f t="shared" si="37"/>
        <v/>
      </c>
      <c r="B1155" s="328"/>
    </row>
    <row r="1156" spans="1:2">
      <c r="A1156" s="328" t="str">
        <f t="shared" si="37"/>
        <v/>
      </c>
      <c r="B1156" s="328"/>
    </row>
    <row r="1157" spans="1:2">
      <c r="A1157" s="328" t="str">
        <f t="shared" si="37"/>
        <v/>
      </c>
      <c r="B1157" s="328"/>
    </row>
    <row r="1158" spans="1:2">
      <c r="A1158" s="328" t="str">
        <f t="shared" si="37"/>
        <v/>
      </c>
      <c r="B1158" s="328"/>
    </row>
    <row r="1159" spans="1:2">
      <c r="A1159" s="328" t="str">
        <f t="shared" si="37"/>
        <v/>
      </c>
      <c r="B1159" s="328"/>
    </row>
    <row r="1160" spans="1:2">
      <c r="A1160" s="328" t="str">
        <f t="shared" si="37"/>
        <v/>
      </c>
      <c r="B1160" s="328"/>
    </row>
    <row r="1161" spans="1:2">
      <c r="A1161" s="328" t="str">
        <f t="shared" si="37"/>
        <v/>
      </c>
      <c r="B1161" s="328"/>
    </row>
    <row r="1162" spans="1:2">
      <c r="A1162" s="328" t="str">
        <f t="shared" si="37"/>
        <v/>
      </c>
      <c r="B1162" s="328"/>
    </row>
    <row r="1163" spans="1:2">
      <c r="A1163" s="328" t="str">
        <f t="shared" si="37"/>
        <v/>
      </c>
      <c r="B1163" s="328"/>
    </row>
    <row r="1164" spans="1:2">
      <c r="A1164" s="328" t="str">
        <f t="shared" si="37"/>
        <v/>
      </c>
      <c r="B1164" s="328"/>
    </row>
    <row r="1165" spans="1:2">
      <c r="A1165" s="328" t="str">
        <f t="shared" si="37"/>
        <v/>
      </c>
      <c r="B1165" s="328"/>
    </row>
    <row r="1166" spans="1:2">
      <c r="A1166" s="328" t="str">
        <f t="shared" si="37"/>
        <v/>
      </c>
      <c r="B1166" s="328"/>
    </row>
    <row r="1167" spans="1:2">
      <c r="A1167" s="328" t="str">
        <f t="shared" si="37"/>
        <v/>
      </c>
      <c r="B1167" s="328"/>
    </row>
    <row r="1168" spans="1:2">
      <c r="A1168" s="328" t="str">
        <f t="shared" si="37"/>
        <v/>
      </c>
      <c r="B1168" s="328"/>
    </row>
    <row r="1169" spans="1:2">
      <c r="A1169" s="328" t="str">
        <f t="shared" si="37"/>
        <v/>
      </c>
      <c r="B1169" s="328"/>
    </row>
    <row r="1170" spans="1:2">
      <c r="A1170" s="328" t="str">
        <f t="shared" si="37"/>
        <v/>
      </c>
      <c r="B1170" s="328"/>
    </row>
    <row r="1171" spans="1:2">
      <c r="A1171" s="328" t="str">
        <f t="shared" si="37"/>
        <v/>
      </c>
      <c r="B1171" s="328"/>
    </row>
    <row r="1172" spans="1:2">
      <c r="A1172" s="328" t="str">
        <f t="shared" si="37"/>
        <v/>
      </c>
      <c r="B1172" s="328"/>
    </row>
    <row r="1173" spans="1:2">
      <c r="A1173" s="328" t="str">
        <f t="shared" si="37"/>
        <v/>
      </c>
      <c r="B1173" s="328"/>
    </row>
    <row r="1174" spans="1:2">
      <c r="A1174" s="328" t="str">
        <f t="shared" si="37"/>
        <v/>
      </c>
      <c r="B1174" s="328"/>
    </row>
    <row r="1175" spans="1:2">
      <c r="A1175" s="328" t="str">
        <f t="shared" si="37"/>
        <v/>
      </c>
      <c r="B1175" s="328"/>
    </row>
    <row r="1176" spans="1:2">
      <c r="A1176" s="328" t="str">
        <f t="shared" si="37"/>
        <v/>
      </c>
      <c r="B1176" s="328"/>
    </row>
    <row r="1177" spans="1:2">
      <c r="A1177" s="328" t="str">
        <f t="shared" si="37"/>
        <v/>
      </c>
      <c r="B1177" s="328"/>
    </row>
    <row r="1178" spans="1:2">
      <c r="A1178" s="328" t="str">
        <f t="shared" si="37"/>
        <v/>
      </c>
      <c r="B1178" s="328"/>
    </row>
    <row r="1179" spans="1:2">
      <c r="A1179" s="328" t="str">
        <f t="shared" si="37"/>
        <v/>
      </c>
      <c r="B1179" s="328"/>
    </row>
    <row r="1180" spans="1:2">
      <c r="A1180" s="328" t="str">
        <f t="shared" si="37"/>
        <v/>
      </c>
      <c r="B1180" s="328"/>
    </row>
    <row r="1181" spans="1:2">
      <c r="A1181" s="328" t="str">
        <f t="shared" si="37"/>
        <v/>
      </c>
      <c r="B1181" s="328"/>
    </row>
    <row r="1182" spans="1:2">
      <c r="A1182" s="328" t="str">
        <f t="shared" si="37"/>
        <v/>
      </c>
      <c r="B1182" s="328"/>
    </row>
    <row r="1183" spans="1:2">
      <c r="A1183" s="328" t="str">
        <f t="shared" si="37"/>
        <v/>
      </c>
      <c r="B1183" s="328"/>
    </row>
    <row r="1184" spans="1:2">
      <c r="A1184" s="328" t="str">
        <f t="shared" si="37"/>
        <v/>
      </c>
      <c r="B1184" s="328"/>
    </row>
    <row r="1185" spans="1:2">
      <c r="A1185" s="328" t="str">
        <f t="shared" si="37"/>
        <v/>
      </c>
      <c r="B1185" s="328"/>
    </row>
    <row r="1186" spans="1:2">
      <c r="A1186" s="328" t="str">
        <f t="shared" si="37"/>
        <v/>
      </c>
      <c r="B1186" s="328"/>
    </row>
    <row r="1187" spans="1:2">
      <c r="A1187" s="328" t="str">
        <f t="shared" si="37"/>
        <v/>
      </c>
      <c r="B1187" s="328"/>
    </row>
    <row r="1188" spans="1:2">
      <c r="A1188" s="328" t="str">
        <f t="shared" si="37"/>
        <v/>
      </c>
      <c r="B1188" s="328"/>
    </row>
    <row r="1189" spans="1:2">
      <c r="A1189" s="328" t="str">
        <f t="shared" si="37"/>
        <v/>
      </c>
      <c r="B1189" s="328"/>
    </row>
    <row r="1190" spans="1:2">
      <c r="A1190" s="328" t="str">
        <f t="shared" ref="A1190:A1253" si="38">IF(ROW()-6&gt;$C$2,"",$C$3*(ROW()-6))</f>
        <v/>
      </c>
      <c r="B1190" s="328"/>
    </row>
    <row r="1191" spans="1:2">
      <c r="A1191" s="328" t="str">
        <f t="shared" si="38"/>
        <v/>
      </c>
      <c r="B1191" s="328"/>
    </row>
    <row r="1192" spans="1:2">
      <c r="A1192" s="328" t="str">
        <f t="shared" si="38"/>
        <v/>
      </c>
      <c r="B1192" s="328"/>
    </row>
    <row r="1193" spans="1:2">
      <c r="A1193" s="328" t="str">
        <f t="shared" si="38"/>
        <v/>
      </c>
      <c r="B1193" s="328"/>
    </row>
    <row r="1194" spans="1:2">
      <c r="A1194" s="328" t="str">
        <f t="shared" si="38"/>
        <v/>
      </c>
      <c r="B1194" s="328"/>
    </row>
    <row r="1195" spans="1:2">
      <c r="A1195" s="328" t="str">
        <f t="shared" si="38"/>
        <v/>
      </c>
      <c r="B1195" s="328"/>
    </row>
    <row r="1196" spans="1:2">
      <c r="A1196" s="328" t="str">
        <f t="shared" si="38"/>
        <v/>
      </c>
      <c r="B1196" s="328"/>
    </row>
    <row r="1197" spans="1:2">
      <c r="A1197" s="328" t="str">
        <f t="shared" si="38"/>
        <v/>
      </c>
      <c r="B1197" s="328"/>
    </row>
    <row r="1198" spans="1:2">
      <c r="A1198" s="328" t="str">
        <f t="shared" si="38"/>
        <v/>
      </c>
      <c r="B1198" s="328"/>
    </row>
    <row r="1199" spans="1:2">
      <c r="A1199" s="328" t="str">
        <f t="shared" si="38"/>
        <v/>
      </c>
      <c r="B1199" s="328"/>
    </row>
    <row r="1200" spans="1:2">
      <c r="A1200" s="328" t="str">
        <f t="shared" si="38"/>
        <v/>
      </c>
      <c r="B1200" s="328"/>
    </row>
    <row r="1201" spans="1:2">
      <c r="A1201" s="328" t="str">
        <f t="shared" si="38"/>
        <v/>
      </c>
      <c r="B1201" s="328"/>
    </row>
    <row r="1202" spans="1:2">
      <c r="A1202" s="328" t="str">
        <f t="shared" si="38"/>
        <v/>
      </c>
      <c r="B1202" s="328"/>
    </row>
    <row r="1203" spans="1:2">
      <c r="A1203" s="328" t="str">
        <f t="shared" si="38"/>
        <v/>
      </c>
      <c r="B1203" s="328"/>
    </row>
    <row r="1204" spans="1:2">
      <c r="A1204" s="328" t="str">
        <f t="shared" si="38"/>
        <v/>
      </c>
      <c r="B1204" s="328"/>
    </row>
    <row r="1205" spans="1:2">
      <c r="A1205" s="328" t="str">
        <f t="shared" si="38"/>
        <v/>
      </c>
      <c r="B1205" s="328"/>
    </row>
    <row r="1206" spans="1:2">
      <c r="A1206" s="328" t="str">
        <f t="shared" si="38"/>
        <v/>
      </c>
      <c r="B1206" s="328"/>
    </row>
    <row r="1207" spans="1:2">
      <c r="A1207" s="328" t="str">
        <f t="shared" si="38"/>
        <v/>
      </c>
      <c r="B1207" s="328"/>
    </row>
    <row r="1208" spans="1:2">
      <c r="A1208" s="328" t="str">
        <f t="shared" si="38"/>
        <v/>
      </c>
      <c r="B1208" s="328"/>
    </row>
    <row r="1209" spans="1:2">
      <c r="A1209" s="328" t="str">
        <f t="shared" si="38"/>
        <v/>
      </c>
      <c r="B1209" s="328"/>
    </row>
    <row r="1210" spans="1:2">
      <c r="A1210" s="328" t="str">
        <f t="shared" si="38"/>
        <v/>
      </c>
      <c r="B1210" s="328"/>
    </row>
    <row r="1211" spans="1:2">
      <c r="A1211" s="328" t="str">
        <f t="shared" si="38"/>
        <v/>
      </c>
      <c r="B1211" s="328"/>
    </row>
    <row r="1212" spans="1:2">
      <c r="A1212" s="328" t="str">
        <f t="shared" si="38"/>
        <v/>
      </c>
      <c r="B1212" s="328"/>
    </row>
    <row r="1213" spans="1:2">
      <c r="A1213" s="328" t="str">
        <f t="shared" si="38"/>
        <v/>
      </c>
      <c r="B1213" s="328"/>
    </row>
    <row r="1214" spans="1:2">
      <c r="A1214" s="328" t="str">
        <f t="shared" si="38"/>
        <v/>
      </c>
      <c r="B1214" s="328"/>
    </row>
    <row r="1215" spans="1:2">
      <c r="A1215" s="328" t="str">
        <f t="shared" si="38"/>
        <v/>
      </c>
      <c r="B1215" s="328"/>
    </row>
    <row r="1216" spans="1:2">
      <c r="A1216" s="328" t="str">
        <f t="shared" si="38"/>
        <v/>
      </c>
      <c r="B1216" s="328"/>
    </row>
    <row r="1217" spans="1:2">
      <c r="A1217" s="328" t="str">
        <f t="shared" si="38"/>
        <v/>
      </c>
      <c r="B1217" s="328"/>
    </row>
    <row r="1218" spans="1:2">
      <c r="A1218" s="328" t="str">
        <f t="shared" si="38"/>
        <v/>
      </c>
      <c r="B1218" s="328"/>
    </row>
    <row r="1219" spans="1:2">
      <c r="A1219" s="328" t="str">
        <f t="shared" si="38"/>
        <v/>
      </c>
      <c r="B1219" s="328"/>
    </row>
    <row r="1220" spans="1:2">
      <c r="A1220" s="328" t="str">
        <f t="shared" si="38"/>
        <v/>
      </c>
      <c r="B1220" s="328"/>
    </row>
    <row r="1221" spans="1:2">
      <c r="A1221" s="328" t="str">
        <f t="shared" si="38"/>
        <v/>
      </c>
      <c r="B1221" s="328"/>
    </row>
    <row r="1222" spans="1:2">
      <c r="A1222" s="328" t="str">
        <f t="shared" si="38"/>
        <v/>
      </c>
      <c r="B1222" s="328"/>
    </row>
    <row r="1223" spans="1:2">
      <c r="A1223" s="328" t="str">
        <f t="shared" si="38"/>
        <v/>
      </c>
      <c r="B1223" s="328"/>
    </row>
    <row r="1224" spans="1:2">
      <c r="A1224" s="328" t="str">
        <f t="shared" si="38"/>
        <v/>
      </c>
      <c r="B1224" s="328"/>
    </row>
    <row r="1225" spans="1:2">
      <c r="A1225" s="328" t="str">
        <f t="shared" si="38"/>
        <v/>
      </c>
      <c r="B1225" s="328"/>
    </row>
    <row r="1226" spans="1:2">
      <c r="A1226" s="328" t="str">
        <f t="shared" si="38"/>
        <v/>
      </c>
      <c r="B1226" s="328"/>
    </row>
    <row r="1227" spans="1:2">
      <c r="A1227" s="328" t="str">
        <f t="shared" si="38"/>
        <v/>
      </c>
      <c r="B1227" s="328"/>
    </row>
    <row r="1228" spans="1:2">
      <c r="A1228" s="328" t="str">
        <f t="shared" si="38"/>
        <v/>
      </c>
      <c r="B1228" s="328"/>
    </row>
    <row r="1229" spans="1:2">
      <c r="A1229" s="328" t="str">
        <f t="shared" si="38"/>
        <v/>
      </c>
      <c r="B1229" s="328"/>
    </row>
    <row r="1230" spans="1:2">
      <c r="A1230" s="328" t="str">
        <f t="shared" si="38"/>
        <v/>
      </c>
      <c r="B1230" s="328"/>
    </row>
    <row r="1231" spans="1:2">
      <c r="A1231" s="328" t="str">
        <f t="shared" si="38"/>
        <v/>
      </c>
      <c r="B1231" s="328"/>
    </row>
    <row r="1232" spans="1:2">
      <c r="A1232" s="328" t="str">
        <f t="shared" si="38"/>
        <v/>
      </c>
      <c r="B1232" s="328"/>
    </row>
    <row r="1233" spans="1:2">
      <c r="A1233" s="328" t="str">
        <f t="shared" si="38"/>
        <v/>
      </c>
      <c r="B1233" s="328"/>
    </row>
    <row r="1234" spans="1:2">
      <c r="A1234" s="328" t="str">
        <f t="shared" si="38"/>
        <v/>
      </c>
      <c r="B1234" s="328"/>
    </row>
    <row r="1235" spans="1:2">
      <c r="A1235" s="328" t="str">
        <f t="shared" si="38"/>
        <v/>
      </c>
      <c r="B1235" s="328"/>
    </row>
    <row r="1236" spans="1:2">
      <c r="A1236" s="328" t="str">
        <f t="shared" si="38"/>
        <v/>
      </c>
      <c r="B1236" s="328"/>
    </row>
    <row r="1237" spans="1:2">
      <c r="A1237" s="328" t="str">
        <f t="shared" si="38"/>
        <v/>
      </c>
      <c r="B1237" s="328"/>
    </row>
    <row r="1238" spans="1:2">
      <c r="A1238" s="328" t="str">
        <f t="shared" si="38"/>
        <v/>
      </c>
      <c r="B1238" s="328"/>
    </row>
    <row r="1239" spans="1:2">
      <c r="A1239" s="328" t="str">
        <f t="shared" si="38"/>
        <v/>
      </c>
      <c r="B1239" s="328"/>
    </row>
    <row r="1240" spans="1:2">
      <c r="A1240" s="328" t="str">
        <f t="shared" si="38"/>
        <v/>
      </c>
      <c r="B1240" s="328"/>
    </row>
    <row r="1241" spans="1:2">
      <c r="A1241" s="328" t="str">
        <f t="shared" si="38"/>
        <v/>
      </c>
      <c r="B1241" s="328"/>
    </row>
    <row r="1242" spans="1:2">
      <c r="A1242" s="328" t="str">
        <f t="shared" si="38"/>
        <v/>
      </c>
      <c r="B1242" s="328"/>
    </row>
    <row r="1243" spans="1:2">
      <c r="A1243" s="328" t="str">
        <f t="shared" si="38"/>
        <v/>
      </c>
      <c r="B1243" s="328"/>
    </row>
    <row r="1244" spans="1:2">
      <c r="A1244" s="328" t="str">
        <f t="shared" si="38"/>
        <v/>
      </c>
      <c r="B1244" s="328"/>
    </row>
    <row r="1245" spans="1:2">
      <c r="A1245" s="328" t="str">
        <f t="shared" si="38"/>
        <v/>
      </c>
      <c r="B1245" s="328"/>
    </row>
    <row r="1246" spans="1:2">
      <c r="A1246" s="328" t="str">
        <f t="shared" si="38"/>
        <v/>
      </c>
      <c r="B1246" s="328"/>
    </row>
    <row r="1247" spans="1:2">
      <c r="A1247" s="328" t="str">
        <f t="shared" si="38"/>
        <v/>
      </c>
      <c r="B1247" s="328"/>
    </row>
    <row r="1248" spans="1:2">
      <c r="A1248" s="328" t="str">
        <f t="shared" si="38"/>
        <v/>
      </c>
      <c r="B1248" s="328"/>
    </row>
    <row r="1249" spans="1:2">
      <c r="A1249" s="328" t="str">
        <f t="shared" si="38"/>
        <v/>
      </c>
      <c r="B1249" s="328"/>
    </row>
    <row r="1250" spans="1:2">
      <c r="A1250" s="328" t="str">
        <f t="shared" si="38"/>
        <v/>
      </c>
      <c r="B1250" s="328"/>
    </row>
    <row r="1251" spans="1:2">
      <c r="A1251" s="328" t="str">
        <f t="shared" si="38"/>
        <v/>
      </c>
      <c r="B1251" s="328"/>
    </row>
    <row r="1252" spans="1:2">
      <c r="A1252" s="328" t="str">
        <f t="shared" si="38"/>
        <v/>
      </c>
      <c r="B1252" s="328"/>
    </row>
    <row r="1253" spans="1:2">
      <c r="A1253" s="328" t="str">
        <f t="shared" si="38"/>
        <v/>
      </c>
      <c r="B1253" s="328"/>
    </row>
    <row r="1254" spans="1:2">
      <c r="A1254" s="328" t="str">
        <f t="shared" ref="A1254:A1317" si="39">IF(ROW()-6&gt;$C$2,"",$C$3*(ROW()-6))</f>
        <v/>
      </c>
      <c r="B1254" s="328"/>
    </row>
    <row r="1255" spans="1:2">
      <c r="A1255" s="328" t="str">
        <f t="shared" si="39"/>
        <v/>
      </c>
      <c r="B1255" s="328"/>
    </row>
    <row r="1256" spans="1:2">
      <c r="A1256" s="328" t="str">
        <f t="shared" si="39"/>
        <v/>
      </c>
      <c r="B1256" s="328"/>
    </row>
    <row r="1257" spans="1:2">
      <c r="A1257" s="328" t="str">
        <f t="shared" si="39"/>
        <v/>
      </c>
      <c r="B1257" s="328"/>
    </row>
    <row r="1258" spans="1:2">
      <c r="A1258" s="328" t="str">
        <f t="shared" si="39"/>
        <v/>
      </c>
      <c r="B1258" s="328"/>
    </row>
    <row r="1259" spans="1:2">
      <c r="A1259" s="328" t="str">
        <f t="shared" si="39"/>
        <v/>
      </c>
      <c r="B1259" s="328"/>
    </row>
    <row r="1260" spans="1:2">
      <c r="A1260" s="328" t="str">
        <f t="shared" si="39"/>
        <v/>
      </c>
      <c r="B1260" s="328"/>
    </row>
    <row r="1261" spans="1:2">
      <c r="A1261" s="328" t="str">
        <f t="shared" si="39"/>
        <v/>
      </c>
      <c r="B1261" s="328"/>
    </row>
    <row r="1262" spans="1:2">
      <c r="A1262" s="328" t="str">
        <f t="shared" si="39"/>
        <v/>
      </c>
      <c r="B1262" s="328"/>
    </row>
    <row r="1263" spans="1:2">
      <c r="A1263" s="328" t="str">
        <f t="shared" si="39"/>
        <v/>
      </c>
      <c r="B1263" s="328"/>
    </row>
    <row r="1264" spans="1:2">
      <c r="A1264" s="328" t="str">
        <f t="shared" si="39"/>
        <v/>
      </c>
      <c r="B1264" s="328"/>
    </row>
    <row r="1265" spans="1:2">
      <c r="A1265" s="328" t="str">
        <f t="shared" si="39"/>
        <v/>
      </c>
      <c r="B1265" s="328"/>
    </row>
    <row r="1266" spans="1:2">
      <c r="A1266" s="328" t="str">
        <f t="shared" si="39"/>
        <v/>
      </c>
      <c r="B1266" s="328"/>
    </row>
    <row r="1267" spans="1:2">
      <c r="A1267" s="328" t="str">
        <f t="shared" si="39"/>
        <v/>
      </c>
      <c r="B1267" s="328"/>
    </row>
    <row r="1268" spans="1:2">
      <c r="A1268" s="328" t="str">
        <f t="shared" si="39"/>
        <v/>
      </c>
      <c r="B1268" s="328"/>
    </row>
    <row r="1269" spans="1:2">
      <c r="A1269" s="328" t="str">
        <f t="shared" si="39"/>
        <v/>
      </c>
      <c r="B1269" s="328"/>
    </row>
    <row r="1270" spans="1:2">
      <c r="A1270" s="328" t="str">
        <f t="shared" si="39"/>
        <v/>
      </c>
      <c r="B1270" s="328"/>
    </row>
    <row r="1271" spans="1:2">
      <c r="A1271" s="328" t="str">
        <f t="shared" si="39"/>
        <v/>
      </c>
      <c r="B1271" s="328"/>
    </row>
    <row r="1272" spans="1:2">
      <c r="A1272" s="328" t="str">
        <f t="shared" si="39"/>
        <v/>
      </c>
      <c r="B1272" s="328"/>
    </row>
    <row r="1273" spans="1:2">
      <c r="A1273" s="328" t="str">
        <f t="shared" si="39"/>
        <v/>
      </c>
      <c r="B1273" s="328"/>
    </row>
    <row r="1274" spans="1:2">
      <c r="A1274" s="328" t="str">
        <f t="shared" si="39"/>
        <v/>
      </c>
      <c r="B1274" s="328"/>
    </row>
    <row r="1275" spans="1:2">
      <c r="A1275" s="328" t="str">
        <f t="shared" si="39"/>
        <v/>
      </c>
      <c r="B1275" s="328"/>
    </row>
    <row r="1276" spans="1:2">
      <c r="A1276" s="328" t="str">
        <f t="shared" si="39"/>
        <v/>
      </c>
      <c r="B1276" s="328"/>
    </row>
    <row r="1277" spans="1:2">
      <c r="A1277" s="328" t="str">
        <f t="shared" si="39"/>
        <v/>
      </c>
      <c r="B1277" s="328"/>
    </row>
    <row r="1278" spans="1:2">
      <c r="A1278" s="328" t="str">
        <f t="shared" si="39"/>
        <v/>
      </c>
      <c r="B1278" s="328"/>
    </row>
    <row r="1279" spans="1:2">
      <c r="A1279" s="328" t="str">
        <f t="shared" si="39"/>
        <v/>
      </c>
      <c r="B1279" s="328"/>
    </row>
    <row r="1280" spans="1:2">
      <c r="A1280" s="328" t="str">
        <f t="shared" si="39"/>
        <v/>
      </c>
      <c r="B1280" s="328"/>
    </row>
    <row r="1281" spans="1:2">
      <c r="A1281" s="328" t="str">
        <f t="shared" si="39"/>
        <v/>
      </c>
      <c r="B1281" s="328"/>
    </row>
    <row r="1282" spans="1:2">
      <c r="A1282" s="328" t="str">
        <f t="shared" si="39"/>
        <v/>
      </c>
      <c r="B1282" s="328"/>
    </row>
    <row r="1283" spans="1:2">
      <c r="A1283" s="328" t="str">
        <f t="shared" si="39"/>
        <v/>
      </c>
      <c r="B1283" s="328"/>
    </row>
    <row r="1284" spans="1:2">
      <c r="A1284" s="328" t="str">
        <f t="shared" si="39"/>
        <v/>
      </c>
      <c r="B1284" s="328"/>
    </row>
    <row r="1285" spans="1:2">
      <c r="A1285" s="328" t="str">
        <f t="shared" si="39"/>
        <v/>
      </c>
      <c r="B1285" s="328"/>
    </row>
    <row r="1286" spans="1:2">
      <c r="A1286" s="328" t="str">
        <f t="shared" si="39"/>
        <v/>
      </c>
      <c r="B1286" s="328"/>
    </row>
    <row r="1287" spans="1:2">
      <c r="A1287" s="328" t="str">
        <f t="shared" si="39"/>
        <v/>
      </c>
      <c r="B1287" s="328"/>
    </row>
    <row r="1288" spans="1:2">
      <c r="A1288" s="328" t="str">
        <f t="shared" si="39"/>
        <v/>
      </c>
      <c r="B1288" s="328"/>
    </row>
    <row r="1289" spans="1:2">
      <c r="A1289" s="328" t="str">
        <f t="shared" si="39"/>
        <v/>
      </c>
      <c r="B1289" s="328"/>
    </row>
    <row r="1290" spans="1:2">
      <c r="A1290" s="328" t="str">
        <f t="shared" si="39"/>
        <v/>
      </c>
      <c r="B1290" s="328"/>
    </row>
    <row r="1291" spans="1:2">
      <c r="A1291" s="328" t="str">
        <f t="shared" si="39"/>
        <v/>
      </c>
      <c r="B1291" s="328"/>
    </row>
    <row r="1292" spans="1:2">
      <c r="A1292" s="328" t="str">
        <f t="shared" si="39"/>
        <v/>
      </c>
      <c r="B1292" s="328"/>
    </row>
    <row r="1293" spans="1:2">
      <c r="A1293" s="328" t="str">
        <f t="shared" si="39"/>
        <v/>
      </c>
      <c r="B1293" s="328"/>
    </row>
    <row r="1294" spans="1:2">
      <c r="A1294" s="328" t="str">
        <f t="shared" si="39"/>
        <v/>
      </c>
      <c r="B1294" s="328"/>
    </row>
    <row r="1295" spans="1:2">
      <c r="A1295" s="328" t="str">
        <f t="shared" si="39"/>
        <v/>
      </c>
      <c r="B1295" s="328"/>
    </row>
    <row r="1296" spans="1:2">
      <c r="A1296" s="328" t="str">
        <f t="shared" si="39"/>
        <v/>
      </c>
      <c r="B1296" s="328"/>
    </row>
    <row r="1297" spans="1:2">
      <c r="A1297" s="328" t="str">
        <f t="shared" si="39"/>
        <v/>
      </c>
      <c r="B1297" s="328"/>
    </row>
    <row r="1298" spans="1:2">
      <c r="A1298" s="328" t="str">
        <f t="shared" si="39"/>
        <v/>
      </c>
      <c r="B1298" s="328"/>
    </row>
    <row r="1299" spans="1:2">
      <c r="A1299" s="328" t="str">
        <f t="shared" si="39"/>
        <v/>
      </c>
      <c r="B1299" s="328"/>
    </row>
    <row r="1300" spans="1:2">
      <c r="A1300" s="328" t="str">
        <f t="shared" si="39"/>
        <v/>
      </c>
      <c r="B1300" s="328"/>
    </row>
    <row r="1301" spans="1:2">
      <c r="A1301" s="328" t="str">
        <f t="shared" si="39"/>
        <v/>
      </c>
      <c r="B1301" s="328"/>
    </row>
    <row r="1302" spans="1:2">
      <c r="A1302" s="328" t="str">
        <f t="shared" si="39"/>
        <v/>
      </c>
      <c r="B1302" s="328"/>
    </row>
    <row r="1303" spans="1:2">
      <c r="A1303" s="328" t="str">
        <f t="shared" si="39"/>
        <v/>
      </c>
      <c r="B1303" s="328"/>
    </row>
    <row r="1304" spans="1:2">
      <c r="A1304" s="328" t="str">
        <f t="shared" si="39"/>
        <v/>
      </c>
      <c r="B1304" s="328"/>
    </row>
    <row r="1305" spans="1:2">
      <c r="A1305" s="328" t="str">
        <f t="shared" si="39"/>
        <v/>
      </c>
      <c r="B1305" s="328"/>
    </row>
    <row r="1306" spans="1:2">
      <c r="A1306" s="328" t="str">
        <f t="shared" si="39"/>
        <v/>
      </c>
      <c r="B1306" s="328"/>
    </row>
    <row r="1307" spans="1:2">
      <c r="A1307" s="328" t="str">
        <f t="shared" si="39"/>
        <v/>
      </c>
      <c r="B1307" s="328"/>
    </row>
    <row r="1308" spans="1:2">
      <c r="A1308" s="328" t="str">
        <f t="shared" si="39"/>
        <v/>
      </c>
      <c r="B1308" s="328"/>
    </row>
    <row r="1309" spans="1:2">
      <c r="A1309" s="328" t="str">
        <f t="shared" si="39"/>
        <v/>
      </c>
      <c r="B1309" s="328"/>
    </row>
    <row r="1310" spans="1:2">
      <c r="A1310" s="328" t="str">
        <f t="shared" si="39"/>
        <v/>
      </c>
      <c r="B1310" s="328"/>
    </row>
    <row r="1311" spans="1:2">
      <c r="A1311" s="328" t="str">
        <f t="shared" si="39"/>
        <v/>
      </c>
      <c r="B1311" s="328"/>
    </row>
    <row r="1312" spans="1:2">
      <c r="A1312" s="328" t="str">
        <f t="shared" si="39"/>
        <v/>
      </c>
      <c r="B1312" s="328"/>
    </row>
    <row r="1313" spans="1:2">
      <c r="A1313" s="328" t="str">
        <f t="shared" si="39"/>
        <v/>
      </c>
      <c r="B1313" s="328"/>
    </row>
    <row r="1314" spans="1:2">
      <c r="A1314" s="328" t="str">
        <f t="shared" si="39"/>
        <v/>
      </c>
      <c r="B1314" s="328"/>
    </row>
    <row r="1315" spans="1:2">
      <c r="A1315" s="328" t="str">
        <f t="shared" si="39"/>
        <v/>
      </c>
      <c r="B1315" s="328"/>
    </row>
    <row r="1316" spans="1:2">
      <c r="A1316" s="328" t="str">
        <f t="shared" si="39"/>
        <v/>
      </c>
      <c r="B1316" s="328"/>
    </row>
    <row r="1317" spans="1:2">
      <c r="A1317" s="328" t="str">
        <f t="shared" si="39"/>
        <v/>
      </c>
      <c r="B1317" s="328"/>
    </row>
    <row r="1318" spans="1:2">
      <c r="A1318" s="328" t="str">
        <f t="shared" ref="A1318:A1381" si="40">IF(ROW()-6&gt;$C$2,"",$C$3*(ROW()-6))</f>
        <v/>
      </c>
      <c r="B1318" s="328"/>
    </row>
    <row r="1319" spans="1:2">
      <c r="A1319" s="328" t="str">
        <f t="shared" si="40"/>
        <v/>
      </c>
      <c r="B1319" s="328"/>
    </row>
    <row r="1320" spans="1:2">
      <c r="A1320" s="328" t="str">
        <f t="shared" si="40"/>
        <v/>
      </c>
      <c r="B1320" s="328"/>
    </row>
    <row r="1321" spans="1:2">
      <c r="A1321" s="328" t="str">
        <f t="shared" si="40"/>
        <v/>
      </c>
      <c r="B1321" s="328"/>
    </row>
    <row r="1322" spans="1:2">
      <c r="A1322" s="328" t="str">
        <f t="shared" si="40"/>
        <v/>
      </c>
      <c r="B1322" s="328"/>
    </row>
    <row r="1323" spans="1:2">
      <c r="A1323" s="328" t="str">
        <f t="shared" si="40"/>
        <v/>
      </c>
      <c r="B1323" s="328"/>
    </row>
    <row r="1324" spans="1:2">
      <c r="A1324" s="328" t="str">
        <f t="shared" si="40"/>
        <v/>
      </c>
      <c r="B1324" s="328"/>
    </row>
    <row r="1325" spans="1:2">
      <c r="A1325" s="328" t="str">
        <f t="shared" si="40"/>
        <v/>
      </c>
      <c r="B1325" s="328"/>
    </row>
    <row r="1326" spans="1:2">
      <c r="A1326" s="328" t="str">
        <f t="shared" si="40"/>
        <v/>
      </c>
      <c r="B1326" s="328"/>
    </row>
    <row r="1327" spans="1:2">
      <c r="A1327" s="328" t="str">
        <f t="shared" si="40"/>
        <v/>
      </c>
      <c r="B1327" s="328"/>
    </row>
    <row r="1328" spans="1:2">
      <c r="A1328" s="328" t="str">
        <f t="shared" si="40"/>
        <v/>
      </c>
      <c r="B1328" s="328"/>
    </row>
    <row r="1329" spans="1:2">
      <c r="A1329" s="328" t="str">
        <f t="shared" si="40"/>
        <v/>
      </c>
      <c r="B1329" s="328"/>
    </row>
    <row r="1330" spans="1:2">
      <c r="A1330" s="328" t="str">
        <f t="shared" si="40"/>
        <v/>
      </c>
      <c r="B1330" s="328"/>
    </row>
    <row r="1331" spans="1:2">
      <c r="A1331" s="328" t="str">
        <f t="shared" si="40"/>
        <v/>
      </c>
      <c r="B1331" s="328"/>
    </row>
    <row r="1332" spans="1:2">
      <c r="A1332" s="328" t="str">
        <f t="shared" si="40"/>
        <v/>
      </c>
      <c r="B1332" s="328"/>
    </row>
    <row r="1333" spans="1:2">
      <c r="A1333" s="328" t="str">
        <f t="shared" si="40"/>
        <v/>
      </c>
      <c r="B1333" s="328"/>
    </row>
    <row r="1334" spans="1:2">
      <c r="A1334" s="328" t="str">
        <f t="shared" si="40"/>
        <v/>
      </c>
      <c r="B1334" s="328"/>
    </row>
    <row r="1335" spans="1:2">
      <c r="A1335" s="328" t="str">
        <f t="shared" si="40"/>
        <v/>
      </c>
      <c r="B1335" s="328"/>
    </row>
    <row r="1336" spans="1:2">
      <c r="A1336" s="328" t="str">
        <f t="shared" si="40"/>
        <v/>
      </c>
      <c r="B1336" s="328"/>
    </row>
    <row r="1337" spans="1:2">
      <c r="A1337" s="328" t="str">
        <f t="shared" si="40"/>
        <v/>
      </c>
      <c r="B1337" s="328"/>
    </row>
    <row r="1338" spans="1:2">
      <c r="A1338" s="328" t="str">
        <f t="shared" si="40"/>
        <v/>
      </c>
      <c r="B1338" s="328"/>
    </row>
    <row r="1339" spans="1:2">
      <c r="A1339" s="328" t="str">
        <f t="shared" si="40"/>
        <v/>
      </c>
      <c r="B1339" s="328"/>
    </row>
    <row r="1340" spans="1:2">
      <c r="A1340" s="328" t="str">
        <f t="shared" si="40"/>
        <v/>
      </c>
      <c r="B1340" s="328"/>
    </row>
    <row r="1341" spans="1:2">
      <c r="A1341" s="328" t="str">
        <f t="shared" si="40"/>
        <v/>
      </c>
      <c r="B1341" s="328"/>
    </row>
    <row r="1342" spans="1:2">
      <c r="A1342" s="328" t="str">
        <f t="shared" si="40"/>
        <v/>
      </c>
      <c r="B1342" s="328"/>
    </row>
    <row r="1343" spans="1:2">
      <c r="A1343" s="328" t="str">
        <f t="shared" si="40"/>
        <v/>
      </c>
      <c r="B1343" s="328"/>
    </row>
    <row r="1344" spans="1:2">
      <c r="A1344" s="328" t="str">
        <f t="shared" si="40"/>
        <v/>
      </c>
      <c r="B1344" s="328"/>
    </row>
    <row r="1345" spans="1:2">
      <c r="A1345" s="328" t="str">
        <f t="shared" si="40"/>
        <v/>
      </c>
      <c r="B1345" s="328"/>
    </row>
    <row r="1346" spans="1:2">
      <c r="A1346" s="328" t="str">
        <f t="shared" si="40"/>
        <v/>
      </c>
      <c r="B1346" s="328"/>
    </row>
    <row r="1347" spans="1:2">
      <c r="A1347" s="328" t="str">
        <f t="shared" si="40"/>
        <v/>
      </c>
      <c r="B1347" s="328"/>
    </row>
    <row r="1348" spans="1:2">
      <c r="A1348" s="328" t="str">
        <f t="shared" si="40"/>
        <v/>
      </c>
      <c r="B1348" s="328"/>
    </row>
    <row r="1349" spans="1:2">
      <c r="A1349" s="328" t="str">
        <f t="shared" si="40"/>
        <v/>
      </c>
      <c r="B1349" s="328"/>
    </row>
    <row r="1350" spans="1:2">
      <c r="A1350" s="328" t="str">
        <f t="shared" si="40"/>
        <v/>
      </c>
      <c r="B1350" s="328"/>
    </row>
    <row r="1351" spans="1:2">
      <c r="A1351" s="328" t="str">
        <f t="shared" si="40"/>
        <v/>
      </c>
      <c r="B1351" s="328"/>
    </row>
    <row r="1352" spans="1:2">
      <c r="A1352" s="328" t="str">
        <f t="shared" si="40"/>
        <v/>
      </c>
      <c r="B1352" s="328"/>
    </row>
    <row r="1353" spans="1:2">
      <c r="A1353" s="328" t="str">
        <f t="shared" si="40"/>
        <v/>
      </c>
      <c r="B1353" s="328"/>
    </row>
    <row r="1354" spans="1:2">
      <c r="A1354" s="328" t="str">
        <f t="shared" si="40"/>
        <v/>
      </c>
      <c r="B1354" s="328"/>
    </row>
    <row r="1355" spans="1:2">
      <c r="A1355" s="328" t="str">
        <f t="shared" si="40"/>
        <v/>
      </c>
      <c r="B1355" s="328"/>
    </row>
    <row r="1356" spans="1:2">
      <c r="A1356" s="328" t="str">
        <f t="shared" si="40"/>
        <v/>
      </c>
      <c r="B1356" s="328"/>
    </row>
    <row r="1357" spans="1:2">
      <c r="A1357" s="328" t="str">
        <f t="shared" si="40"/>
        <v/>
      </c>
      <c r="B1357" s="328"/>
    </row>
    <row r="1358" spans="1:2">
      <c r="A1358" s="328" t="str">
        <f t="shared" si="40"/>
        <v/>
      </c>
      <c r="B1358" s="328"/>
    </row>
    <row r="1359" spans="1:2">
      <c r="A1359" s="328" t="str">
        <f t="shared" si="40"/>
        <v/>
      </c>
      <c r="B1359" s="328"/>
    </row>
    <row r="1360" spans="1:2">
      <c r="A1360" s="328" t="str">
        <f t="shared" si="40"/>
        <v/>
      </c>
      <c r="B1360" s="328"/>
    </row>
    <row r="1361" spans="1:2">
      <c r="A1361" s="328" t="str">
        <f t="shared" si="40"/>
        <v/>
      </c>
      <c r="B1361" s="328"/>
    </row>
    <row r="1362" spans="1:2">
      <c r="A1362" s="328" t="str">
        <f t="shared" si="40"/>
        <v/>
      </c>
      <c r="B1362" s="328"/>
    </row>
    <row r="1363" spans="1:2">
      <c r="A1363" s="328" t="str">
        <f t="shared" si="40"/>
        <v/>
      </c>
      <c r="B1363" s="328"/>
    </row>
    <row r="1364" spans="1:2">
      <c r="A1364" s="328" t="str">
        <f t="shared" si="40"/>
        <v/>
      </c>
      <c r="B1364" s="328"/>
    </row>
    <row r="1365" spans="1:2">
      <c r="A1365" s="328" t="str">
        <f t="shared" si="40"/>
        <v/>
      </c>
      <c r="B1365" s="328"/>
    </row>
    <row r="1366" spans="1:2">
      <c r="A1366" s="328" t="str">
        <f t="shared" si="40"/>
        <v/>
      </c>
      <c r="B1366" s="328"/>
    </row>
    <row r="1367" spans="1:2">
      <c r="A1367" s="328" t="str">
        <f t="shared" si="40"/>
        <v/>
      </c>
      <c r="B1367" s="328"/>
    </row>
    <row r="1368" spans="1:2">
      <c r="A1368" s="328" t="str">
        <f t="shared" si="40"/>
        <v/>
      </c>
      <c r="B1368" s="328"/>
    </row>
    <row r="1369" spans="1:2">
      <c r="A1369" s="328" t="str">
        <f t="shared" si="40"/>
        <v/>
      </c>
      <c r="B1369" s="328"/>
    </row>
    <row r="1370" spans="1:2">
      <c r="A1370" s="328" t="str">
        <f t="shared" si="40"/>
        <v/>
      </c>
      <c r="B1370" s="328"/>
    </row>
    <row r="1371" spans="1:2">
      <c r="A1371" s="328" t="str">
        <f t="shared" si="40"/>
        <v/>
      </c>
      <c r="B1371" s="328"/>
    </row>
    <row r="1372" spans="1:2">
      <c r="A1372" s="328" t="str">
        <f t="shared" si="40"/>
        <v/>
      </c>
      <c r="B1372" s="328"/>
    </row>
    <row r="1373" spans="1:2">
      <c r="A1373" s="328" t="str">
        <f t="shared" si="40"/>
        <v/>
      </c>
      <c r="B1373" s="328"/>
    </row>
    <row r="1374" spans="1:2">
      <c r="A1374" s="328" t="str">
        <f t="shared" si="40"/>
        <v/>
      </c>
      <c r="B1374" s="328"/>
    </row>
    <row r="1375" spans="1:2">
      <c r="A1375" s="328" t="str">
        <f t="shared" si="40"/>
        <v/>
      </c>
      <c r="B1375" s="328"/>
    </row>
    <row r="1376" spans="1:2">
      <c r="A1376" s="328" t="str">
        <f t="shared" si="40"/>
        <v/>
      </c>
      <c r="B1376" s="328"/>
    </row>
    <row r="1377" spans="1:2">
      <c r="A1377" s="328" t="str">
        <f t="shared" si="40"/>
        <v/>
      </c>
      <c r="B1377" s="328"/>
    </row>
    <row r="1378" spans="1:2">
      <c r="A1378" s="328" t="str">
        <f t="shared" si="40"/>
        <v/>
      </c>
      <c r="B1378" s="328"/>
    </row>
    <row r="1379" spans="1:2">
      <c r="A1379" s="328" t="str">
        <f t="shared" si="40"/>
        <v/>
      </c>
      <c r="B1379" s="328"/>
    </row>
    <row r="1380" spans="1:2">
      <c r="A1380" s="328" t="str">
        <f t="shared" si="40"/>
        <v/>
      </c>
      <c r="B1380" s="328"/>
    </row>
    <row r="1381" spans="1:2">
      <c r="A1381" s="328" t="str">
        <f t="shared" si="40"/>
        <v/>
      </c>
      <c r="B1381" s="328"/>
    </row>
    <row r="1382" spans="1:2">
      <c r="A1382" s="328" t="str">
        <f t="shared" ref="A1382:A1445" si="41">IF(ROW()-6&gt;$C$2,"",$C$3*(ROW()-6))</f>
        <v/>
      </c>
      <c r="B1382" s="328"/>
    </row>
    <row r="1383" spans="1:2">
      <c r="A1383" s="328" t="str">
        <f t="shared" si="41"/>
        <v/>
      </c>
      <c r="B1383" s="328"/>
    </row>
    <row r="1384" spans="1:2">
      <c r="A1384" s="328" t="str">
        <f t="shared" si="41"/>
        <v/>
      </c>
      <c r="B1384" s="328"/>
    </row>
    <row r="1385" spans="1:2">
      <c r="A1385" s="328" t="str">
        <f t="shared" si="41"/>
        <v/>
      </c>
      <c r="B1385" s="328"/>
    </row>
    <row r="1386" spans="1:2">
      <c r="A1386" s="328" t="str">
        <f t="shared" si="41"/>
        <v/>
      </c>
      <c r="B1386" s="328"/>
    </row>
    <row r="1387" spans="1:2">
      <c r="A1387" s="328" t="str">
        <f t="shared" si="41"/>
        <v/>
      </c>
      <c r="B1387" s="328"/>
    </row>
    <row r="1388" spans="1:2">
      <c r="A1388" s="328" t="str">
        <f t="shared" si="41"/>
        <v/>
      </c>
      <c r="B1388" s="328"/>
    </row>
    <row r="1389" spans="1:2">
      <c r="A1389" s="328" t="str">
        <f t="shared" si="41"/>
        <v/>
      </c>
      <c r="B1389" s="328"/>
    </row>
    <row r="1390" spans="1:2">
      <c r="A1390" s="328" t="str">
        <f t="shared" si="41"/>
        <v/>
      </c>
      <c r="B1390" s="328"/>
    </row>
    <row r="1391" spans="1:2">
      <c r="A1391" s="328" t="str">
        <f t="shared" si="41"/>
        <v/>
      </c>
      <c r="B1391" s="328"/>
    </row>
    <row r="1392" spans="1:2">
      <c r="A1392" s="328" t="str">
        <f t="shared" si="41"/>
        <v/>
      </c>
      <c r="B1392" s="328"/>
    </row>
    <row r="1393" spans="1:2">
      <c r="A1393" s="328" t="str">
        <f t="shared" si="41"/>
        <v/>
      </c>
      <c r="B1393" s="328"/>
    </row>
    <row r="1394" spans="1:2">
      <c r="A1394" s="328" t="str">
        <f t="shared" si="41"/>
        <v/>
      </c>
      <c r="B1394" s="328"/>
    </row>
    <row r="1395" spans="1:2">
      <c r="A1395" s="328" t="str">
        <f t="shared" si="41"/>
        <v/>
      </c>
      <c r="B1395" s="328"/>
    </row>
    <row r="1396" spans="1:2">
      <c r="A1396" s="328" t="str">
        <f t="shared" si="41"/>
        <v/>
      </c>
      <c r="B1396" s="328"/>
    </row>
    <row r="1397" spans="1:2">
      <c r="A1397" s="328" t="str">
        <f t="shared" si="41"/>
        <v/>
      </c>
      <c r="B1397" s="328"/>
    </row>
    <row r="1398" spans="1:2">
      <c r="A1398" s="328" t="str">
        <f t="shared" si="41"/>
        <v/>
      </c>
      <c r="B1398" s="328"/>
    </row>
    <row r="1399" spans="1:2">
      <c r="A1399" s="328" t="str">
        <f t="shared" si="41"/>
        <v/>
      </c>
      <c r="B1399" s="328"/>
    </row>
    <row r="1400" spans="1:2">
      <c r="A1400" s="328" t="str">
        <f t="shared" si="41"/>
        <v/>
      </c>
      <c r="B1400" s="328"/>
    </row>
    <row r="1401" spans="1:2">
      <c r="A1401" s="328" t="str">
        <f t="shared" si="41"/>
        <v/>
      </c>
      <c r="B1401" s="328"/>
    </row>
    <row r="1402" spans="1:2">
      <c r="A1402" s="328" t="str">
        <f t="shared" si="41"/>
        <v/>
      </c>
      <c r="B1402" s="328"/>
    </row>
    <row r="1403" spans="1:2">
      <c r="A1403" s="328" t="str">
        <f t="shared" si="41"/>
        <v/>
      </c>
      <c r="B1403" s="328"/>
    </row>
    <row r="1404" spans="1:2">
      <c r="A1404" s="328" t="str">
        <f t="shared" si="41"/>
        <v/>
      </c>
      <c r="B1404" s="328"/>
    </row>
    <row r="1405" spans="1:2">
      <c r="A1405" s="328" t="str">
        <f t="shared" si="41"/>
        <v/>
      </c>
      <c r="B1405" s="328"/>
    </row>
    <row r="1406" spans="1:2">
      <c r="A1406" s="328" t="str">
        <f t="shared" si="41"/>
        <v/>
      </c>
      <c r="B1406" s="328"/>
    </row>
    <row r="1407" spans="1:2">
      <c r="A1407" s="328" t="str">
        <f t="shared" si="41"/>
        <v/>
      </c>
      <c r="B1407" s="328"/>
    </row>
    <row r="1408" spans="1:2">
      <c r="A1408" s="328" t="str">
        <f t="shared" si="41"/>
        <v/>
      </c>
      <c r="B1408" s="328"/>
    </row>
    <row r="1409" spans="1:2">
      <c r="A1409" s="328" t="str">
        <f t="shared" si="41"/>
        <v/>
      </c>
      <c r="B1409" s="328"/>
    </row>
    <row r="1410" spans="1:2">
      <c r="A1410" s="328" t="str">
        <f t="shared" si="41"/>
        <v/>
      </c>
      <c r="B1410" s="328"/>
    </row>
    <row r="1411" spans="1:2">
      <c r="A1411" s="328" t="str">
        <f t="shared" si="41"/>
        <v/>
      </c>
      <c r="B1411" s="328"/>
    </row>
    <row r="1412" spans="1:2">
      <c r="A1412" s="328" t="str">
        <f t="shared" si="41"/>
        <v/>
      </c>
      <c r="B1412" s="328"/>
    </row>
    <row r="1413" spans="1:2">
      <c r="A1413" s="328" t="str">
        <f t="shared" si="41"/>
        <v/>
      </c>
      <c r="B1413" s="328"/>
    </row>
    <row r="1414" spans="1:2">
      <c r="A1414" s="328" t="str">
        <f t="shared" si="41"/>
        <v/>
      </c>
      <c r="B1414" s="328"/>
    </row>
    <row r="1415" spans="1:2">
      <c r="A1415" s="328" t="str">
        <f t="shared" si="41"/>
        <v/>
      </c>
      <c r="B1415" s="328"/>
    </row>
    <row r="1416" spans="1:2">
      <c r="A1416" s="328" t="str">
        <f t="shared" si="41"/>
        <v/>
      </c>
      <c r="B1416" s="328"/>
    </row>
    <row r="1417" spans="1:2">
      <c r="A1417" s="328" t="str">
        <f t="shared" si="41"/>
        <v/>
      </c>
      <c r="B1417" s="328"/>
    </row>
    <row r="1418" spans="1:2">
      <c r="A1418" s="328" t="str">
        <f t="shared" si="41"/>
        <v/>
      </c>
      <c r="B1418" s="328"/>
    </row>
    <row r="1419" spans="1:2">
      <c r="A1419" s="328" t="str">
        <f t="shared" si="41"/>
        <v/>
      </c>
      <c r="B1419" s="328"/>
    </row>
    <row r="1420" spans="1:2">
      <c r="A1420" s="328" t="str">
        <f t="shared" si="41"/>
        <v/>
      </c>
      <c r="B1420" s="328"/>
    </row>
    <row r="1421" spans="1:2">
      <c r="A1421" s="328" t="str">
        <f t="shared" si="41"/>
        <v/>
      </c>
      <c r="B1421" s="328"/>
    </row>
    <row r="1422" spans="1:2">
      <c r="A1422" s="328" t="str">
        <f t="shared" si="41"/>
        <v/>
      </c>
      <c r="B1422" s="328"/>
    </row>
    <row r="1423" spans="1:2">
      <c r="A1423" s="328" t="str">
        <f t="shared" si="41"/>
        <v/>
      </c>
      <c r="B1423" s="328"/>
    </row>
    <row r="1424" spans="1:2">
      <c r="A1424" s="328" t="str">
        <f t="shared" si="41"/>
        <v/>
      </c>
      <c r="B1424" s="328"/>
    </row>
    <row r="1425" spans="1:2">
      <c r="A1425" s="328" t="str">
        <f t="shared" si="41"/>
        <v/>
      </c>
      <c r="B1425" s="328"/>
    </row>
    <row r="1426" spans="1:2">
      <c r="A1426" s="328" t="str">
        <f t="shared" si="41"/>
        <v/>
      </c>
      <c r="B1426" s="328"/>
    </row>
    <row r="1427" spans="1:2">
      <c r="A1427" s="328" t="str">
        <f t="shared" si="41"/>
        <v/>
      </c>
      <c r="B1427" s="328"/>
    </row>
    <row r="1428" spans="1:2">
      <c r="A1428" s="328" t="str">
        <f t="shared" si="41"/>
        <v/>
      </c>
      <c r="B1428" s="328"/>
    </row>
    <row r="1429" spans="1:2">
      <c r="A1429" s="328" t="str">
        <f t="shared" si="41"/>
        <v/>
      </c>
      <c r="B1429" s="328"/>
    </row>
    <row r="1430" spans="1:2">
      <c r="A1430" s="328" t="str">
        <f t="shared" si="41"/>
        <v/>
      </c>
      <c r="B1430" s="328"/>
    </row>
    <row r="1431" spans="1:2">
      <c r="A1431" s="328" t="str">
        <f t="shared" si="41"/>
        <v/>
      </c>
      <c r="B1431" s="328"/>
    </row>
    <row r="1432" spans="1:2">
      <c r="A1432" s="328" t="str">
        <f t="shared" si="41"/>
        <v/>
      </c>
      <c r="B1432" s="328"/>
    </row>
    <row r="1433" spans="1:2">
      <c r="A1433" s="328" t="str">
        <f t="shared" si="41"/>
        <v/>
      </c>
      <c r="B1433" s="328"/>
    </row>
    <row r="1434" spans="1:2">
      <c r="A1434" s="328" t="str">
        <f t="shared" si="41"/>
        <v/>
      </c>
      <c r="B1434" s="328"/>
    </row>
    <row r="1435" spans="1:2">
      <c r="A1435" s="328" t="str">
        <f t="shared" si="41"/>
        <v/>
      </c>
      <c r="B1435" s="328"/>
    </row>
    <row r="1436" spans="1:2">
      <c r="A1436" s="328" t="str">
        <f t="shared" si="41"/>
        <v/>
      </c>
      <c r="B1436" s="328"/>
    </row>
    <row r="1437" spans="1:2">
      <c r="A1437" s="328" t="str">
        <f t="shared" si="41"/>
        <v/>
      </c>
      <c r="B1437" s="328"/>
    </row>
    <row r="1438" spans="1:2">
      <c r="A1438" s="328" t="str">
        <f t="shared" si="41"/>
        <v/>
      </c>
      <c r="B1438" s="328"/>
    </row>
    <row r="1439" spans="1:2">
      <c r="A1439" s="328" t="str">
        <f t="shared" si="41"/>
        <v/>
      </c>
      <c r="B1439" s="328"/>
    </row>
    <row r="1440" spans="1:2">
      <c r="A1440" s="328" t="str">
        <f t="shared" si="41"/>
        <v/>
      </c>
      <c r="B1440" s="328"/>
    </row>
    <row r="1441" spans="1:2">
      <c r="A1441" s="328" t="str">
        <f t="shared" si="41"/>
        <v/>
      </c>
      <c r="B1441" s="328"/>
    </row>
    <row r="1442" spans="1:2">
      <c r="A1442" s="328" t="str">
        <f t="shared" si="41"/>
        <v/>
      </c>
      <c r="B1442" s="328"/>
    </row>
    <row r="1443" spans="1:2">
      <c r="A1443" s="328" t="str">
        <f t="shared" si="41"/>
        <v/>
      </c>
      <c r="B1443" s="328"/>
    </row>
    <row r="1444" spans="1:2">
      <c r="A1444" s="328" t="str">
        <f t="shared" si="41"/>
        <v/>
      </c>
      <c r="B1444" s="328"/>
    </row>
    <row r="1445" spans="1:2">
      <c r="A1445" s="328" t="str">
        <f t="shared" si="41"/>
        <v/>
      </c>
      <c r="B1445" s="328"/>
    </row>
    <row r="1446" spans="1:2">
      <c r="A1446" s="328" t="str">
        <f t="shared" ref="A1446:A1509" si="42">IF(ROW()-6&gt;$C$2,"",$C$3*(ROW()-6))</f>
        <v/>
      </c>
      <c r="B1446" s="328"/>
    </row>
    <row r="1447" spans="1:2">
      <c r="A1447" s="328" t="str">
        <f t="shared" si="42"/>
        <v/>
      </c>
      <c r="B1447" s="328"/>
    </row>
    <row r="1448" spans="1:2">
      <c r="A1448" s="328" t="str">
        <f t="shared" si="42"/>
        <v/>
      </c>
      <c r="B1448" s="328"/>
    </row>
    <row r="1449" spans="1:2">
      <c r="A1449" s="328" t="str">
        <f t="shared" si="42"/>
        <v/>
      </c>
      <c r="B1449" s="328"/>
    </row>
    <row r="1450" spans="1:2">
      <c r="A1450" s="328" t="str">
        <f t="shared" si="42"/>
        <v/>
      </c>
      <c r="B1450" s="328"/>
    </row>
    <row r="1451" spans="1:2">
      <c r="A1451" s="328" t="str">
        <f t="shared" si="42"/>
        <v/>
      </c>
      <c r="B1451" s="328"/>
    </row>
    <row r="1452" spans="1:2">
      <c r="A1452" s="328" t="str">
        <f t="shared" si="42"/>
        <v/>
      </c>
      <c r="B1452" s="328"/>
    </row>
    <row r="1453" spans="1:2">
      <c r="A1453" s="328" t="str">
        <f t="shared" si="42"/>
        <v/>
      </c>
      <c r="B1453" s="328"/>
    </row>
    <row r="1454" spans="1:2">
      <c r="A1454" s="328" t="str">
        <f t="shared" si="42"/>
        <v/>
      </c>
      <c r="B1454" s="328"/>
    </row>
    <row r="1455" spans="1:2">
      <c r="A1455" s="328" t="str">
        <f t="shared" si="42"/>
        <v/>
      </c>
      <c r="B1455" s="328"/>
    </row>
    <row r="1456" spans="1:2">
      <c r="A1456" s="328" t="str">
        <f t="shared" si="42"/>
        <v/>
      </c>
      <c r="B1456" s="328"/>
    </row>
    <row r="1457" spans="1:2">
      <c r="A1457" s="328" t="str">
        <f t="shared" si="42"/>
        <v/>
      </c>
      <c r="B1457" s="328"/>
    </row>
    <row r="1458" spans="1:2">
      <c r="A1458" s="328" t="str">
        <f t="shared" si="42"/>
        <v/>
      </c>
      <c r="B1458" s="328"/>
    </row>
    <row r="1459" spans="1:2">
      <c r="A1459" s="328" t="str">
        <f t="shared" si="42"/>
        <v/>
      </c>
      <c r="B1459" s="328"/>
    </row>
    <row r="1460" spans="1:2">
      <c r="A1460" s="328" t="str">
        <f t="shared" si="42"/>
        <v/>
      </c>
      <c r="B1460" s="328"/>
    </row>
    <row r="1461" spans="1:2">
      <c r="A1461" s="328" t="str">
        <f t="shared" si="42"/>
        <v/>
      </c>
      <c r="B1461" s="328"/>
    </row>
    <row r="1462" spans="1:2">
      <c r="A1462" s="328" t="str">
        <f t="shared" si="42"/>
        <v/>
      </c>
      <c r="B1462" s="328"/>
    </row>
    <row r="1463" spans="1:2">
      <c r="A1463" s="328" t="str">
        <f t="shared" si="42"/>
        <v/>
      </c>
      <c r="B1463" s="328"/>
    </row>
    <row r="1464" spans="1:2">
      <c r="A1464" s="328" t="str">
        <f t="shared" si="42"/>
        <v/>
      </c>
      <c r="B1464" s="328"/>
    </row>
    <row r="1465" spans="1:2">
      <c r="A1465" s="328" t="str">
        <f t="shared" si="42"/>
        <v/>
      </c>
      <c r="B1465" s="328"/>
    </row>
    <row r="1466" spans="1:2">
      <c r="A1466" s="328" t="str">
        <f t="shared" si="42"/>
        <v/>
      </c>
      <c r="B1466" s="328"/>
    </row>
    <row r="1467" spans="1:2">
      <c r="A1467" s="328" t="str">
        <f t="shared" si="42"/>
        <v/>
      </c>
      <c r="B1467" s="328"/>
    </row>
    <row r="1468" spans="1:2">
      <c r="A1468" s="328" t="str">
        <f t="shared" si="42"/>
        <v/>
      </c>
      <c r="B1468" s="328"/>
    </row>
    <row r="1469" spans="1:2">
      <c r="A1469" s="328" t="str">
        <f t="shared" si="42"/>
        <v/>
      </c>
      <c r="B1469" s="328"/>
    </row>
    <row r="1470" spans="1:2">
      <c r="A1470" s="328" t="str">
        <f t="shared" si="42"/>
        <v/>
      </c>
      <c r="B1470" s="328"/>
    </row>
    <row r="1471" spans="1:2">
      <c r="A1471" s="328" t="str">
        <f t="shared" si="42"/>
        <v/>
      </c>
      <c r="B1471" s="328"/>
    </row>
    <row r="1472" spans="1:2">
      <c r="A1472" s="328" t="str">
        <f t="shared" si="42"/>
        <v/>
      </c>
      <c r="B1472" s="328"/>
    </row>
    <row r="1473" spans="1:2">
      <c r="A1473" s="328" t="str">
        <f t="shared" si="42"/>
        <v/>
      </c>
      <c r="B1473" s="328"/>
    </row>
    <row r="1474" spans="1:2">
      <c r="A1474" s="328" t="str">
        <f t="shared" si="42"/>
        <v/>
      </c>
      <c r="B1474" s="328"/>
    </row>
    <row r="1475" spans="1:2">
      <c r="A1475" s="328" t="str">
        <f t="shared" si="42"/>
        <v/>
      </c>
      <c r="B1475" s="328"/>
    </row>
    <row r="1476" spans="1:2">
      <c r="A1476" s="328" t="str">
        <f t="shared" si="42"/>
        <v/>
      </c>
      <c r="B1476" s="328"/>
    </row>
    <row r="1477" spans="1:2">
      <c r="A1477" s="328" t="str">
        <f t="shared" si="42"/>
        <v/>
      </c>
      <c r="B1477" s="328"/>
    </row>
    <row r="1478" spans="1:2">
      <c r="A1478" s="328" t="str">
        <f t="shared" si="42"/>
        <v/>
      </c>
      <c r="B1478" s="328"/>
    </row>
    <row r="1479" spans="1:2">
      <c r="A1479" s="328" t="str">
        <f t="shared" si="42"/>
        <v/>
      </c>
      <c r="B1479" s="328"/>
    </row>
    <row r="1480" spans="1:2">
      <c r="A1480" s="328" t="str">
        <f t="shared" si="42"/>
        <v/>
      </c>
      <c r="B1480" s="328"/>
    </row>
    <row r="1481" spans="1:2">
      <c r="A1481" s="328" t="str">
        <f t="shared" si="42"/>
        <v/>
      </c>
      <c r="B1481" s="328"/>
    </row>
    <row r="1482" spans="1:2">
      <c r="A1482" s="328" t="str">
        <f t="shared" si="42"/>
        <v/>
      </c>
      <c r="B1482" s="328"/>
    </row>
    <row r="1483" spans="1:2">
      <c r="A1483" s="328" t="str">
        <f t="shared" si="42"/>
        <v/>
      </c>
      <c r="B1483" s="328"/>
    </row>
    <row r="1484" spans="1:2">
      <c r="A1484" s="328" t="str">
        <f t="shared" si="42"/>
        <v/>
      </c>
      <c r="B1484" s="328"/>
    </row>
    <row r="1485" spans="1:2">
      <c r="A1485" s="328" t="str">
        <f t="shared" si="42"/>
        <v/>
      </c>
      <c r="B1485" s="328"/>
    </row>
    <row r="1486" spans="1:2">
      <c r="A1486" s="328" t="str">
        <f t="shared" si="42"/>
        <v/>
      </c>
      <c r="B1486" s="328"/>
    </row>
    <row r="1487" spans="1:2">
      <c r="A1487" s="328" t="str">
        <f t="shared" si="42"/>
        <v/>
      </c>
      <c r="B1487" s="328"/>
    </row>
    <row r="1488" spans="1:2">
      <c r="A1488" s="328" t="str">
        <f t="shared" si="42"/>
        <v/>
      </c>
      <c r="B1488" s="328"/>
    </row>
    <row r="1489" spans="1:2">
      <c r="A1489" s="328" t="str">
        <f t="shared" si="42"/>
        <v/>
      </c>
      <c r="B1489" s="328"/>
    </row>
    <row r="1490" spans="1:2">
      <c r="A1490" s="328" t="str">
        <f t="shared" si="42"/>
        <v/>
      </c>
      <c r="B1490" s="328"/>
    </row>
    <row r="1491" spans="1:2">
      <c r="A1491" s="328" t="str">
        <f t="shared" si="42"/>
        <v/>
      </c>
      <c r="B1491" s="328"/>
    </row>
    <row r="1492" spans="1:2">
      <c r="A1492" s="328" t="str">
        <f t="shared" si="42"/>
        <v/>
      </c>
      <c r="B1492" s="328"/>
    </row>
    <row r="1493" spans="1:2">
      <c r="A1493" s="328" t="str">
        <f t="shared" si="42"/>
        <v/>
      </c>
      <c r="B1493" s="328"/>
    </row>
    <row r="1494" spans="1:2">
      <c r="A1494" s="328" t="str">
        <f t="shared" si="42"/>
        <v/>
      </c>
      <c r="B1494" s="328"/>
    </row>
    <row r="1495" spans="1:2">
      <c r="A1495" s="328" t="str">
        <f t="shared" si="42"/>
        <v/>
      </c>
      <c r="B1495" s="328"/>
    </row>
    <row r="1496" spans="1:2">
      <c r="A1496" s="328" t="str">
        <f t="shared" si="42"/>
        <v/>
      </c>
      <c r="B1496" s="328"/>
    </row>
    <row r="1497" spans="1:2">
      <c r="A1497" s="328" t="str">
        <f t="shared" si="42"/>
        <v/>
      </c>
      <c r="B1497" s="328"/>
    </row>
    <row r="1498" spans="1:2">
      <c r="A1498" s="328" t="str">
        <f t="shared" si="42"/>
        <v/>
      </c>
      <c r="B1498" s="328"/>
    </row>
    <row r="1499" spans="1:2">
      <c r="A1499" s="328" t="str">
        <f t="shared" si="42"/>
        <v/>
      </c>
      <c r="B1499" s="328"/>
    </row>
    <row r="1500" spans="1:2">
      <c r="A1500" s="328" t="str">
        <f t="shared" si="42"/>
        <v/>
      </c>
      <c r="B1500" s="328"/>
    </row>
    <row r="1501" spans="1:2">
      <c r="A1501" s="328" t="str">
        <f t="shared" si="42"/>
        <v/>
      </c>
      <c r="B1501" s="328"/>
    </row>
    <row r="1502" spans="1:2">
      <c r="A1502" s="328" t="str">
        <f t="shared" si="42"/>
        <v/>
      </c>
      <c r="B1502" s="328"/>
    </row>
    <row r="1503" spans="1:2">
      <c r="A1503" s="328" t="str">
        <f t="shared" si="42"/>
        <v/>
      </c>
      <c r="B1503" s="328"/>
    </row>
    <row r="1504" spans="1:2">
      <c r="A1504" s="328" t="str">
        <f t="shared" si="42"/>
        <v/>
      </c>
      <c r="B1504" s="328"/>
    </row>
    <row r="1505" spans="1:2">
      <c r="A1505" s="328" t="str">
        <f t="shared" si="42"/>
        <v/>
      </c>
      <c r="B1505" s="328"/>
    </row>
    <row r="1506" spans="1:2">
      <c r="A1506" s="328" t="str">
        <f t="shared" si="42"/>
        <v/>
      </c>
      <c r="B1506" s="328"/>
    </row>
    <row r="1507" spans="1:2">
      <c r="A1507" s="328" t="str">
        <f t="shared" si="42"/>
        <v/>
      </c>
      <c r="B1507" s="328"/>
    </row>
    <row r="1508" spans="1:2">
      <c r="A1508" s="328" t="str">
        <f t="shared" si="42"/>
        <v/>
      </c>
      <c r="B1508" s="328"/>
    </row>
    <row r="1509" spans="1:2">
      <c r="A1509" s="328" t="str">
        <f t="shared" si="42"/>
        <v/>
      </c>
      <c r="B1509" s="328"/>
    </row>
    <row r="1510" spans="1:2">
      <c r="A1510" s="328" t="str">
        <f t="shared" ref="A1510:A1524" si="43">IF(ROW()-6&gt;$C$2,"",$C$3*(ROW()-6))</f>
        <v/>
      </c>
      <c r="B1510" s="328"/>
    </row>
    <row r="1511" spans="1:2">
      <c r="A1511" s="328" t="str">
        <f t="shared" si="43"/>
        <v/>
      </c>
      <c r="B1511" s="328"/>
    </row>
    <row r="1512" spans="1:2">
      <c r="A1512" s="328" t="str">
        <f t="shared" si="43"/>
        <v/>
      </c>
      <c r="B1512" s="328"/>
    </row>
    <row r="1513" spans="1:2">
      <c r="A1513" s="328" t="str">
        <f t="shared" si="43"/>
        <v/>
      </c>
      <c r="B1513" s="328"/>
    </row>
    <row r="1514" spans="1:2">
      <c r="A1514" s="328" t="str">
        <f t="shared" si="43"/>
        <v/>
      </c>
      <c r="B1514" s="328"/>
    </row>
    <row r="1515" spans="1:2">
      <c r="A1515" s="328" t="str">
        <f t="shared" si="43"/>
        <v/>
      </c>
      <c r="B1515" s="328"/>
    </row>
    <row r="1516" spans="1:2">
      <c r="A1516" s="328" t="str">
        <f t="shared" si="43"/>
        <v/>
      </c>
      <c r="B1516" s="328"/>
    </row>
    <row r="1517" spans="1:2">
      <c r="A1517" s="328" t="str">
        <f t="shared" si="43"/>
        <v/>
      </c>
      <c r="B1517" s="328"/>
    </row>
    <row r="1518" spans="1:2">
      <c r="A1518" s="328" t="str">
        <f t="shared" si="43"/>
        <v/>
      </c>
      <c r="B1518" s="328"/>
    </row>
    <row r="1519" spans="1:2">
      <c r="A1519" s="328" t="str">
        <f t="shared" si="43"/>
        <v/>
      </c>
      <c r="B1519" s="328"/>
    </row>
    <row r="1520" spans="1:2">
      <c r="A1520" s="328" t="str">
        <f t="shared" si="43"/>
        <v/>
      </c>
      <c r="B1520" s="328"/>
    </row>
    <row r="1521" spans="1:2">
      <c r="A1521" s="328" t="str">
        <f t="shared" si="43"/>
        <v/>
      </c>
      <c r="B1521" s="328"/>
    </row>
    <row r="1522" spans="1:2">
      <c r="A1522" s="328" t="str">
        <f t="shared" si="43"/>
        <v/>
      </c>
      <c r="B1522" s="328"/>
    </row>
    <row r="1523" spans="1:2">
      <c r="A1523" s="328" t="str">
        <f t="shared" si="43"/>
        <v/>
      </c>
      <c r="B1523" s="328"/>
    </row>
    <row r="1524" spans="1:2">
      <c r="A1524" s="328" t="str">
        <f t="shared" si="43"/>
        <v/>
      </c>
      <c r="B1524" s="328"/>
    </row>
  </sheetData>
  <phoneticPr fontId="21" type="noConversion"/>
  <pageMargins left="0.78740157499999996" right="0.78740157499999996" top="0.984251969" bottom="0.984251969" header="0.4921259845" footer="0.4921259845"/>
  <pageSetup paperSize="9" orientation="portrait" horizontalDpi="300" verticalDpi="300" r:id="rId1"/>
  <headerFooter alignWithMargins="0">
    <oddHeader>&amp;A</oddHeader>
    <oddFooter>Seite &amp;P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workbookViewId="0">
      <selection activeCell="B5" sqref="B5"/>
    </sheetView>
  </sheetViews>
  <sheetFormatPr baseColWidth="10" defaultRowHeight="12.75"/>
  <cols>
    <col min="1" max="1" width="26" style="148" customWidth="1"/>
    <col min="2" max="2" width="20.42578125" style="148" customWidth="1"/>
    <col min="3" max="5" width="11.42578125" style="148"/>
    <col min="6" max="6" width="15.85546875" style="148" bestFit="1" customWidth="1"/>
    <col min="7" max="7" width="15.85546875" style="148" customWidth="1"/>
    <col min="8" max="16384" width="11.42578125" style="148"/>
  </cols>
  <sheetData>
    <row r="1" spans="1:27">
      <c r="A1" s="71" t="s">
        <v>115</v>
      </c>
      <c r="B1" s="146"/>
      <c r="C1" s="147"/>
      <c r="D1" s="147"/>
      <c r="E1" s="147"/>
      <c r="F1" s="147" t="s">
        <v>311</v>
      </c>
      <c r="G1" s="306">
        <v>9.5</v>
      </c>
      <c r="H1" s="306">
        <v>22</v>
      </c>
      <c r="I1" s="147"/>
      <c r="J1" s="147"/>
      <c r="K1" s="147"/>
      <c r="L1" s="147"/>
      <c r="M1" s="147"/>
      <c r="N1" s="147"/>
      <c r="O1" s="147"/>
      <c r="P1" s="147"/>
      <c r="Q1" s="147"/>
      <c r="R1" s="147"/>
      <c r="S1" s="147"/>
      <c r="T1" s="147"/>
    </row>
    <row r="2" spans="1:27">
      <c r="A2" s="149" t="s">
        <v>116</v>
      </c>
      <c r="B2" s="150">
        <v>15.7</v>
      </c>
      <c r="C2" s="147"/>
      <c r="D2" s="249" t="s">
        <v>96</v>
      </c>
      <c r="E2" s="305">
        <v>15.7</v>
      </c>
      <c r="F2" s="305">
        <f>G1</f>
        <v>9.5</v>
      </c>
      <c r="G2" s="305">
        <f t="shared" ref="G2:AA2" si="0">F2+($H$1-$G$1)*1/20</f>
        <v>10.125</v>
      </c>
      <c r="H2" s="305">
        <f t="shared" si="0"/>
        <v>10.75</v>
      </c>
      <c r="I2" s="305">
        <f t="shared" si="0"/>
        <v>11.375</v>
      </c>
      <c r="J2" s="305">
        <f t="shared" si="0"/>
        <v>12</v>
      </c>
      <c r="K2" s="305">
        <f t="shared" si="0"/>
        <v>12.625</v>
      </c>
      <c r="L2" s="305">
        <f t="shared" si="0"/>
        <v>13.25</v>
      </c>
      <c r="M2" s="305">
        <f>L2+($H$1-$G$1)*1/20</f>
        <v>13.875</v>
      </c>
      <c r="N2" s="305">
        <f>M2+($H$1-$G$1)*1/20</f>
        <v>14.5</v>
      </c>
      <c r="O2" s="305">
        <v>15.411199999999999</v>
      </c>
      <c r="P2" s="305">
        <v>15.412000000000001</v>
      </c>
      <c r="Q2" s="305">
        <v>15.8</v>
      </c>
      <c r="R2" s="305">
        <v>16</v>
      </c>
      <c r="S2" s="305">
        <f t="shared" si="0"/>
        <v>16.625</v>
      </c>
      <c r="T2" s="305">
        <f t="shared" si="0"/>
        <v>17.25</v>
      </c>
      <c r="U2" s="305">
        <f t="shared" si="0"/>
        <v>17.875</v>
      </c>
      <c r="V2" s="305">
        <f t="shared" si="0"/>
        <v>18.5</v>
      </c>
      <c r="W2" s="305">
        <f t="shared" si="0"/>
        <v>19.125</v>
      </c>
      <c r="X2" s="305">
        <f t="shared" si="0"/>
        <v>19.75</v>
      </c>
      <c r="Y2" s="305">
        <f t="shared" si="0"/>
        <v>20.375</v>
      </c>
      <c r="Z2" s="305">
        <f t="shared" si="0"/>
        <v>21</v>
      </c>
      <c r="AA2" s="305">
        <f t="shared" si="0"/>
        <v>21.625</v>
      </c>
    </row>
    <row r="3" spans="1:27">
      <c r="A3" s="149" t="s">
        <v>117</v>
      </c>
      <c r="B3" s="150">
        <v>16</v>
      </c>
      <c r="C3" s="147"/>
      <c r="D3" s="249" t="s">
        <v>312</v>
      </c>
      <c r="E3" s="310">
        <f t="shared" ref="E3:S3" si="1">IF($B$6=0,MAX(E2-$B$3,0),E2*NORMSDIST((LN(E2 / $B$3)+ ($B$4+($B$5^2)/2)*$B$6)/($B$5*SQRT($B$6)))-$B$3*EXP(-$B$6*$B$4)*NORMSDIST((LN(E2 / $B$3)+ ($B$4-($B$5^2)/2)*$B$6)/($B$5*SQRT($B$6))))</f>
        <v>1.2241230643130878</v>
      </c>
      <c r="F3" s="310">
        <f t="shared" si="1"/>
        <v>1.6266198842962223E-3</v>
      </c>
      <c r="G3" s="310">
        <f t="shared" si="1"/>
        <v>5.4348875559942361E-3</v>
      </c>
      <c r="H3" s="310">
        <f t="shared" si="1"/>
        <v>1.5211479680661222E-2</v>
      </c>
      <c r="I3" s="310">
        <f t="shared" si="1"/>
        <v>3.6689358018067386E-2</v>
      </c>
      <c r="J3" s="154">
        <f t="shared" si="1"/>
        <v>7.8049590193280172E-2</v>
      </c>
      <c r="K3" s="154">
        <f t="shared" si="1"/>
        <v>0.14927815970361791</v>
      </c>
      <c r="L3" s="154">
        <f t="shared" si="1"/>
        <v>0.26084054872383344</v>
      </c>
      <c r="M3" s="154">
        <f>IF($B$6=0,MAX(M2-$B$3,0),M2*NORMSDIST((LN(M2 / $B$3)+ ($B$4+($B$5^2)/2)*$B$6)/($B$5*SQRT($B$6)))-$B$3*EXP(-$B$6*$B$4)*NORMSDIST((LN(M2 / $B$3)+ ($B$4-($B$5^2)/2)*$B$6)/($B$5*SQRT($B$6))))</f>
        <v>0.42204897938564789</v>
      </c>
      <c r="N3" s="154">
        <f>IF($B$6=0,MAX(N2-$B$3,0),N2*NORMSDIST((LN(N2 / $B$3)+ ($B$4+($B$5^2)/2)*$B$6)/($B$5*SQRT($B$6)))-$B$3*EXP(-$B$6*$B$4)*NORMSDIST((LN(N2 / $B$3)+ ($B$4-($B$5^2)/2)*$B$6)/($B$5*SQRT($B$6))))</f>
        <v>0.63961550489137409</v>
      </c>
      <c r="O3" s="154">
        <f t="shared" si="1"/>
        <v>1.0636078404298113</v>
      </c>
      <c r="P3" s="154">
        <f t="shared" si="1"/>
        <v>1.0640355037358216</v>
      </c>
      <c r="Q3" s="154">
        <f t="shared" si="1"/>
        <v>1.2825241149645521</v>
      </c>
      <c r="R3" s="154">
        <f t="shared" si="1"/>
        <v>1.4035629215611092</v>
      </c>
      <c r="S3" s="154">
        <f t="shared" si="1"/>
        <v>1.8163207691901437</v>
      </c>
      <c r="T3" s="154">
        <f t="shared" ref="T3:AA3" si="2">IF($B$6=0,MAX(T2-$B$3,0),T2*NORMSDIST((LN(T2 / $B$3)+ ($B$4+($B$5^2)/2)*$B$6)/($B$5*SQRT($B$6)))-$B$3*EXP(-$B$6*$B$4)*NORMSDIST((LN(T2 / $B$3)+ ($B$4-($B$5^2)/2)*$B$6)/($B$5*SQRT($B$6))))</f>
        <v>2.2761733171826339</v>
      </c>
      <c r="U3" s="154">
        <f t="shared" si="2"/>
        <v>2.7757644646125001</v>
      </c>
      <c r="V3" s="154">
        <f t="shared" si="2"/>
        <v>3.3076736802708933</v>
      </c>
      <c r="W3" s="154">
        <f t="shared" si="2"/>
        <v>3.8650151090436857</v>
      </c>
      <c r="X3" s="154">
        <f t="shared" si="2"/>
        <v>4.441789291947833</v>
      </c>
      <c r="Y3" s="154">
        <f t="shared" si="2"/>
        <v>5.0330253049735614</v>
      </c>
      <c r="Z3" s="154">
        <f t="shared" si="2"/>
        <v>5.6347718510772342</v>
      </c>
      <c r="AA3" s="154">
        <f t="shared" si="2"/>
        <v>6.2439963069217281</v>
      </c>
    </row>
    <row r="4" spans="1:27">
      <c r="A4" s="149" t="s">
        <v>118</v>
      </c>
      <c r="B4" s="151">
        <v>0.05</v>
      </c>
      <c r="C4" s="147"/>
      <c r="D4" s="249" t="s">
        <v>313</v>
      </c>
      <c r="E4" s="305">
        <f>MAX(E2-$B$3,0)</f>
        <v>0</v>
      </c>
      <c r="F4" s="305">
        <f>MAX(F2-$B$3,0)</f>
        <v>0</v>
      </c>
      <c r="G4" s="305">
        <f>MAX(G2-$B$3,0)</f>
        <v>0</v>
      </c>
      <c r="H4" s="305">
        <f>MAX(H2-$B$3,0)</f>
        <v>0</v>
      </c>
      <c r="I4" s="305">
        <f>MAX(I2-$B$3,0)</f>
        <v>0</v>
      </c>
      <c r="J4" s="305">
        <f t="shared" ref="J4:S4" si="3">MAX(J2-$B$3,0)</f>
        <v>0</v>
      </c>
      <c r="K4" s="305">
        <f t="shared" si="3"/>
        <v>0</v>
      </c>
      <c r="L4" s="305">
        <f t="shared" si="3"/>
        <v>0</v>
      </c>
      <c r="M4" s="305">
        <f>MAX(M2-$B$3,0)</f>
        <v>0</v>
      </c>
      <c r="N4" s="305">
        <f>MAX(N2-$B$3,0)</f>
        <v>0</v>
      </c>
      <c r="O4" s="305">
        <f t="shared" si="3"/>
        <v>0</v>
      </c>
      <c r="P4" s="305">
        <f t="shared" si="3"/>
        <v>0</v>
      </c>
      <c r="Q4" s="305">
        <f t="shared" si="3"/>
        <v>0</v>
      </c>
      <c r="R4" s="305">
        <f t="shared" si="3"/>
        <v>0</v>
      </c>
      <c r="S4" s="305">
        <f t="shared" si="3"/>
        <v>0.625</v>
      </c>
      <c r="T4" s="305">
        <f t="shared" ref="T4:AA4" si="4">MAX(T2-$B$3,0)</f>
        <v>1.25</v>
      </c>
      <c r="U4" s="305">
        <f t="shared" si="4"/>
        <v>1.875</v>
      </c>
      <c r="V4" s="305">
        <f t="shared" si="4"/>
        <v>2.5</v>
      </c>
      <c r="W4" s="305">
        <f t="shared" si="4"/>
        <v>3.125</v>
      </c>
      <c r="X4" s="305">
        <f t="shared" si="4"/>
        <v>3.75</v>
      </c>
      <c r="Y4" s="305">
        <f t="shared" si="4"/>
        <v>4.375</v>
      </c>
      <c r="Z4" s="305">
        <f t="shared" si="4"/>
        <v>5</v>
      </c>
      <c r="AA4" s="305">
        <f t="shared" si="4"/>
        <v>5.625</v>
      </c>
    </row>
    <row r="5" spans="1:27">
      <c r="A5" s="149" t="s">
        <v>119</v>
      </c>
      <c r="B5" s="495">
        <v>0.2</v>
      </c>
      <c r="C5" s="147"/>
      <c r="D5" s="249" t="s">
        <v>315</v>
      </c>
      <c r="E5" s="231">
        <f>IF($B$6=0,MAX(E2-$B$3,0),NORMSDIST((LN(E2 / $B$3)+ ($B$4+($B$5^2)/2)*$B$6)/($B$5*SQRT($B$6))))</f>
        <v>0.57684470936316745</v>
      </c>
      <c r="F5" s="249">
        <f>IF($B$6=0,MAX(F2-$B$3,0),NORMSDIST((LN(F2 / $B$3)+ ($B$4+($B$5^2)/2)*$B$6)/($B$5*SQRT($B$6))))</f>
        <v>3.3988022388851172E-3</v>
      </c>
      <c r="G5" s="249">
        <f>IF($B$6=0,MAX(G2-$B$3,0),NORMSDIST((LN(G2 / $B$3)+ ($B$4+($B$5^2)/2)*$B$6)/($B$5*SQRT($B$6))))</f>
        <v>9.6745277467387043E-3</v>
      </c>
      <c r="H5" s="249">
        <f>IF($B$6=0,MAX(H2-$B$3,0),NORMSDIST((LN(H2 / $B$3)+ ($B$4+($B$5^2)/2)*$B$6)/($B$5*SQRT($B$6))))</f>
        <v>2.3135389089196549E-2</v>
      </c>
      <c r="I5" s="249">
        <f>IF($B$6=0,MAX(I2-$B$3,0),NORMSDIST((LN(I2 / $B$3)+ ($B$4+($B$5^2)/2)*$B$6)/($B$5*SQRT($B$6))))</f>
        <v>4.7792866285157214E-2</v>
      </c>
      <c r="J5" s="249">
        <f t="shared" ref="J5:S5" si="5">IF($B$6=0,MAX(J2-$B$3,0),NORMSDIST((LN(J2 / $B$3)+ ($B$4+($B$5^2)/2)*$B$6)/($B$5*SQRT($B$6))))</f>
        <v>8.7259716658459899E-2</v>
      </c>
      <c r="K5" s="249">
        <f t="shared" si="5"/>
        <v>0.14350807967871496</v>
      </c>
      <c r="L5" s="249">
        <f t="shared" si="5"/>
        <v>0.21601497037605535</v>
      </c>
      <c r="M5" s="249">
        <f>IF($B$6=0,MAX(M2-$B$3,0),NORMSDIST((LN(M2 / $B$3)+ ($B$4+($B$5^2)/2)*$B$6)/($B$5*SQRT($B$6))))</f>
        <v>0.30166576015348945</v>
      </c>
      <c r="N5" s="249">
        <f>IF($B$6=0,MAX(N2-$B$3,0),NORMSDIST((LN(N2 / $B$3)+ ($B$4+($B$5^2)/2)*$B$6)/($B$5*SQRT($B$6))))</f>
        <v>0.39541416538503926</v>
      </c>
      <c r="O5" s="249">
        <f t="shared" si="5"/>
        <v>0.53451957564537023</v>
      </c>
      <c r="P5" s="249">
        <f t="shared" si="5"/>
        <v>0.53463868782978341</v>
      </c>
      <c r="Q5" s="249">
        <f t="shared" si="5"/>
        <v>0.59114264137049766</v>
      </c>
      <c r="R5" s="249">
        <f t="shared" si="5"/>
        <v>0.61909656079420272</v>
      </c>
      <c r="S5" s="249">
        <f t="shared" si="5"/>
        <v>0.69997998818538754</v>
      </c>
      <c r="T5" s="249">
        <f t="shared" ref="T5:AA5" si="6">IF($B$6=0,MAX(T2-$B$3,0),NORMSDIST((LN(T2 / $B$3)+ ($B$4+($B$5^2)/2)*$B$6)/($B$5*SQRT($B$6))))</f>
        <v>0.7695639328975209</v>
      </c>
      <c r="U5" s="249">
        <f t="shared" si="6"/>
        <v>0.82713293249117559</v>
      </c>
      <c r="V5" s="249">
        <f t="shared" si="6"/>
        <v>0.87313111299527091</v>
      </c>
      <c r="W5" s="249">
        <f t="shared" si="6"/>
        <v>0.908758048929728</v>
      </c>
      <c r="X5" s="249">
        <f t="shared" si="6"/>
        <v>0.93559422571887407</v>
      </c>
      <c r="Y5" s="249">
        <f t="shared" si="6"/>
        <v>0.95531021517297976</v>
      </c>
      <c r="Z5" s="249">
        <f t="shared" si="6"/>
        <v>0.96947401803840483</v>
      </c>
      <c r="AA5" s="249">
        <f t="shared" si="6"/>
        <v>0.97944614613617809</v>
      </c>
    </row>
    <row r="6" spans="1:27">
      <c r="A6" s="149" t="s">
        <v>120</v>
      </c>
      <c r="B6" s="153">
        <v>0.75</v>
      </c>
      <c r="C6" s="307"/>
      <c r="D6" s="249" t="s">
        <v>316</v>
      </c>
      <c r="E6" s="249">
        <f t="shared" ref="E6:AA6" si="7">E5-1</f>
        <v>-0.42315529063683255</v>
      </c>
      <c r="F6" s="249">
        <f t="shared" si="7"/>
        <v>-0.99660119776111489</v>
      </c>
      <c r="G6" s="249">
        <f t="shared" si="7"/>
        <v>-0.99032547225326129</v>
      </c>
      <c r="H6" s="249">
        <f t="shared" si="7"/>
        <v>-0.97686461091080345</v>
      </c>
      <c r="I6" s="249">
        <f t="shared" si="7"/>
        <v>-0.95220713371484278</v>
      </c>
      <c r="J6" s="249">
        <f t="shared" si="7"/>
        <v>-0.91274028334154012</v>
      </c>
      <c r="K6" s="249">
        <f t="shared" si="7"/>
        <v>-0.85649192032128507</v>
      </c>
      <c r="L6" s="249">
        <f t="shared" si="7"/>
        <v>-0.78398502962394467</v>
      </c>
      <c r="M6" s="249">
        <f>M5-1</f>
        <v>-0.69833423984651055</v>
      </c>
      <c r="N6" s="249">
        <f>N5-1</f>
        <v>-0.60458583461496074</v>
      </c>
      <c r="O6" s="249">
        <f t="shared" si="7"/>
        <v>-0.46548042435462977</v>
      </c>
      <c r="P6" s="249">
        <f t="shared" si="7"/>
        <v>-0.46536131217021659</v>
      </c>
      <c r="Q6" s="249">
        <f t="shared" si="7"/>
        <v>-0.40885735862950234</v>
      </c>
      <c r="R6" s="249">
        <f t="shared" si="7"/>
        <v>-0.38090343920579728</v>
      </c>
      <c r="S6" s="249">
        <f t="shared" si="7"/>
        <v>-0.30002001181461246</v>
      </c>
      <c r="T6" s="249">
        <f t="shared" si="7"/>
        <v>-0.2304360671024791</v>
      </c>
      <c r="U6" s="249">
        <f t="shared" si="7"/>
        <v>-0.17286706750882441</v>
      </c>
      <c r="V6" s="249">
        <f t="shared" si="7"/>
        <v>-0.12686888700472909</v>
      </c>
      <c r="W6" s="249">
        <f t="shared" si="7"/>
        <v>-9.1241951070271998E-2</v>
      </c>
      <c r="X6" s="249">
        <f t="shared" si="7"/>
        <v>-6.4405774281125927E-2</v>
      </c>
      <c r="Y6" s="249">
        <f t="shared" si="7"/>
        <v>-4.468978482702024E-2</v>
      </c>
      <c r="Z6" s="249">
        <f t="shared" si="7"/>
        <v>-3.0525981961595172E-2</v>
      </c>
      <c r="AA6" s="249">
        <f t="shared" si="7"/>
        <v>-2.0553853863821914E-2</v>
      </c>
    </row>
    <row r="7" spans="1:27">
      <c r="A7" s="147"/>
      <c r="B7" s="147"/>
      <c r="C7" s="307"/>
      <c r="D7" s="417" t="s">
        <v>481</v>
      </c>
      <c r="E7" s="417"/>
      <c r="F7" s="417"/>
      <c r="G7" s="417"/>
      <c r="H7" s="417"/>
      <c r="I7" s="417"/>
      <c r="J7" s="417"/>
      <c r="K7" s="417"/>
      <c r="L7" s="417"/>
      <c r="M7" s="417"/>
      <c r="N7" s="417"/>
      <c r="O7" s="422"/>
      <c r="P7" s="417"/>
      <c r="Q7" s="417"/>
      <c r="R7" s="419"/>
      <c r="S7" s="417"/>
      <c r="T7" s="419"/>
      <c r="U7" s="417"/>
      <c r="V7" s="419"/>
      <c r="W7" s="417"/>
      <c r="X7" s="419"/>
      <c r="Y7" s="417"/>
      <c r="Z7" s="419"/>
      <c r="AA7" s="417"/>
    </row>
    <row r="8" spans="1:27">
      <c r="A8" s="149" t="s">
        <v>121</v>
      </c>
      <c r="B8" s="154">
        <f>IF($B$6=0,MAX(B2-$B$3,0),B2*NORMSDIST((LN(B2/ $B$3)+ ($B$4+($B$5^2)/2)*$B$6)/($B$5*SQRT($B$6)))-$B$3*EXP(-$B$6*$B$4)*NORMSDIST((LN(B2/ $B$3)+ ($B$4-($B$5^2)/2)*$B$6)/($B$5*SQRT($B$6))))</f>
        <v>1.2241230643130878</v>
      </c>
      <c r="C8" s="307"/>
      <c r="D8" s="418" t="s">
        <v>312</v>
      </c>
      <c r="E8" s="418">
        <f>MAX(E2-$B$3*EXP(-$B$4*$B$6),0)</f>
        <v>0.28888931646685023</v>
      </c>
      <c r="F8" s="418">
        <f t="shared" ref="F8:AA8" si="8">MAX(F2-$B$3*EXP(-$B$4*$B$6),0)</f>
        <v>0</v>
      </c>
      <c r="G8" s="418">
        <f t="shared" si="8"/>
        <v>0</v>
      </c>
      <c r="H8" s="418">
        <f t="shared" si="8"/>
        <v>0</v>
      </c>
      <c r="I8" s="418">
        <f t="shared" si="8"/>
        <v>0</v>
      </c>
      <c r="J8" s="418">
        <f t="shared" si="8"/>
        <v>0</v>
      </c>
      <c r="K8" s="418">
        <f t="shared" si="8"/>
        <v>0</v>
      </c>
      <c r="L8" s="418">
        <f t="shared" si="8"/>
        <v>0</v>
      </c>
      <c r="M8" s="418">
        <f>MAX(M2-$B$3*EXP(-$B$4*$B$6),0)</f>
        <v>0</v>
      </c>
      <c r="N8" s="418">
        <f>MAX(N2-$B$3*EXP(-$B$4*$B$6),0)</f>
        <v>0</v>
      </c>
      <c r="O8" s="421">
        <f t="shared" si="8"/>
        <v>8.9316466850064558E-5</v>
      </c>
      <c r="P8" s="418">
        <f t="shared" si="8"/>
        <v>8.8931646685175281E-4</v>
      </c>
      <c r="Q8" s="418">
        <f t="shared" si="8"/>
        <v>0.38888931646685165</v>
      </c>
      <c r="R8" s="420">
        <f t="shared" si="8"/>
        <v>0.58888931646685094</v>
      </c>
      <c r="S8" s="418">
        <f t="shared" si="8"/>
        <v>1.2138893164668509</v>
      </c>
      <c r="T8" s="420">
        <f t="shared" si="8"/>
        <v>1.8388893164668509</v>
      </c>
      <c r="U8" s="418">
        <f t="shared" si="8"/>
        <v>2.4638893164668509</v>
      </c>
      <c r="V8" s="420">
        <f t="shared" si="8"/>
        <v>3.0888893164668509</v>
      </c>
      <c r="W8" s="418">
        <f t="shared" si="8"/>
        <v>3.7138893164668509</v>
      </c>
      <c r="X8" s="420">
        <f t="shared" si="8"/>
        <v>4.3388893164668509</v>
      </c>
      <c r="Y8" s="418">
        <f t="shared" si="8"/>
        <v>4.9638893164668509</v>
      </c>
      <c r="Z8" s="420">
        <f t="shared" si="8"/>
        <v>5.5888893164668509</v>
      </c>
      <c r="AA8" s="418">
        <f t="shared" si="8"/>
        <v>6.2138893164668509</v>
      </c>
    </row>
    <row r="9" spans="1:27">
      <c r="A9" s="149" t="s">
        <v>122</v>
      </c>
      <c r="B9" s="154">
        <f>IF(B6=0,MAX(B3-B2,0),$B$3*EXP(-$B$6*$B$4)*NORMSDIST(-((LN(B2 / $B$3)+ ($B$4-($B$5^2)/2)*$B$6)/($B$5*SQRT($B$6))))-B2*NORMSDIST(-((LN(B2 / $B$3)+ ($B$4+($B$5^2)/2)*$B$6)/($B$5*SQRT($B$6)))))</f>
        <v>0.9352337478462367</v>
      </c>
      <c r="C9" s="307"/>
      <c r="D9" s="307"/>
      <c r="E9" s="307"/>
      <c r="F9" s="308">
        <f>B3</f>
        <v>16</v>
      </c>
      <c r="G9" s="308">
        <v>0</v>
      </c>
      <c r="H9" s="308"/>
      <c r="I9" s="308"/>
      <c r="J9" s="308"/>
      <c r="K9" s="308"/>
      <c r="L9" s="147"/>
      <c r="M9" s="147"/>
      <c r="N9" s="147"/>
      <c r="O9" s="147"/>
      <c r="P9" s="308"/>
      <c r="Q9" s="308"/>
      <c r="R9" s="308"/>
      <c r="S9" s="308"/>
      <c r="T9" s="308"/>
      <c r="U9" s="147"/>
      <c r="V9" s="147"/>
      <c r="W9" s="147"/>
      <c r="X9" s="147"/>
      <c r="Y9" s="147"/>
      <c r="Z9" s="147"/>
      <c r="AA9" s="147"/>
    </row>
    <row r="10" spans="1:27">
      <c r="A10" s="147"/>
      <c r="B10" s="147"/>
      <c r="C10" s="307"/>
      <c r="D10" s="307"/>
      <c r="E10" s="307"/>
      <c r="F10" s="311">
        <f>F9</f>
        <v>16</v>
      </c>
      <c r="G10" s="307">
        <v>1</v>
      </c>
      <c r="H10" s="307"/>
      <c r="I10" s="307"/>
      <c r="J10" s="307"/>
      <c r="K10" s="307"/>
      <c r="L10" s="147"/>
      <c r="M10" s="147"/>
      <c r="N10" s="147"/>
      <c r="O10" s="147"/>
      <c r="P10" s="307"/>
      <c r="Q10" s="307"/>
      <c r="R10" s="307"/>
      <c r="S10" s="307"/>
      <c r="T10" s="307"/>
      <c r="U10" s="147"/>
      <c r="V10" s="147"/>
      <c r="W10" s="147"/>
      <c r="X10" s="147"/>
      <c r="Y10" s="147"/>
      <c r="Z10" s="147"/>
      <c r="AA10" s="147"/>
    </row>
    <row r="11" spans="1:27">
      <c r="A11" s="147"/>
      <c r="B11" s="147"/>
      <c r="C11" s="147"/>
      <c r="D11" s="147"/>
      <c r="E11" s="147"/>
      <c r="F11" s="147"/>
      <c r="G11" s="307"/>
      <c r="H11" s="147"/>
      <c r="I11" s="147"/>
      <c r="J11" s="147"/>
      <c r="K11" s="147"/>
      <c r="L11" s="147"/>
      <c r="M11" s="147"/>
      <c r="N11" s="147"/>
      <c r="O11" s="147"/>
    </row>
    <row r="12" spans="1:27">
      <c r="A12" s="309"/>
      <c r="B12" s="147"/>
      <c r="C12" s="147"/>
      <c r="D12" s="147"/>
      <c r="E12" s="147"/>
      <c r="F12" s="147"/>
      <c r="G12" s="147"/>
      <c r="H12" s="147"/>
      <c r="I12" s="147"/>
      <c r="J12" s="147"/>
      <c r="K12" s="147"/>
      <c r="L12" s="147"/>
      <c r="M12" s="147"/>
      <c r="N12" s="147"/>
      <c r="O12" s="147"/>
    </row>
    <row r="13" spans="1:27">
      <c r="A13" s="309"/>
      <c r="B13" s="147"/>
      <c r="C13" s="147"/>
      <c r="D13" s="147"/>
      <c r="E13" s="147"/>
      <c r="F13" s="147"/>
      <c r="G13" s="147"/>
      <c r="H13" s="147"/>
      <c r="I13" s="147"/>
      <c r="J13" s="147"/>
      <c r="K13" s="147"/>
      <c r="L13" s="147"/>
      <c r="M13" s="147"/>
      <c r="N13" s="147"/>
      <c r="O13" s="147"/>
    </row>
    <row r="14" spans="1:27">
      <c r="A14" s="147"/>
      <c r="B14" s="147"/>
      <c r="C14" s="147"/>
      <c r="D14" s="147"/>
      <c r="E14" s="147"/>
      <c r="F14" s="147"/>
      <c r="G14" s="147"/>
      <c r="H14" s="147"/>
      <c r="I14" s="147"/>
      <c r="J14" s="147"/>
      <c r="K14" s="147"/>
      <c r="L14" s="147"/>
      <c r="M14" s="147"/>
      <c r="N14" s="147"/>
      <c r="O14" s="147"/>
    </row>
    <row r="15" spans="1:27">
      <c r="A15" s="147"/>
      <c r="B15" s="147"/>
      <c r="C15" s="147"/>
      <c r="D15" s="147"/>
      <c r="E15" s="147"/>
      <c r="F15" s="147"/>
      <c r="G15" s="147"/>
      <c r="H15" s="147"/>
      <c r="I15" s="147"/>
      <c r="J15" s="147"/>
      <c r="K15" s="147"/>
      <c r="L15" s="147"/>
      <c r="M15" s="147"/>
      <c r="N15" s="147"/>
      <c r="O15" s="147"/>
    </row>
    <row r="16" spans="1:27">
      <c r="A16" s="147"/>
      <c r="B16" s="147"/>
      <c r="C16" s="147"/>
      <c r="D16" s="147"/>
      <c r="E16" s="147"/>
      <c r="F16" s="147"/>
      <c r="G16" s="147"/>
      <c r="H16" s="147"/>
      <c r="I16" s="147"/>
      <c r="J16" s="147"/>
      <c r="K16" s="147"/>
      <c r="L16" s="147"/>
      <c r="M16" s="147"/>
      <c r="N16" s="147"/>
      <c r="O16" s="147"/>
    </row>
    <row r="17" spans="1:15">
      <c r="A17" s="147"/>
      <c r="B17" s="147"/>
      <c r="C17" s="147"/>
      <c r="D17" s="147"/>
      <c r="E17" s="147"/>
      <c r="F17" s="147"/>
      <c r="G17" s="147"/>
      <c r="H17" s="147"/>
      <c r="I17" s="147"/>
      <c r="J17" s="147"/>
      <c r="K17" s="147"/>
      <c r="L17" s="147"/>
      <c r="M17" s="147"/>
      <c r="N17" s="147"/>
      <c r="O17" s="147"/>
    </row>
    <row r="18" spans="1:15">
      <c r="A18" s="147"/>
      <c r="B18" s="147"/>
      <c r="C18" s="147"/>
      <c r="D18" s="147"/>
      <c r="E18" s="147"/>
      <c r="F18" s="147"/>
      <c r="G18" s="147"/>
      <c r="H18" s="147"/>
      <c r="I18" s="147"/>
      <c r="J18" s="147"/>
      <c r="K18" s="147"/>
      <c r="L18" s="147"/>
      <c r="M18" s="147"/>
      <c r="N18" s="147"/>
      <c r="O18" s="147"/>
    </row>
    <row r="19" spans="1:15">
      <c r="A19" s="147"/>
      <c r="B19" s="147"/>
      <c r="C19" s="147"/>
      <c r="D19" s="147"/>
      <c r="E19" s="147"/>
      <c r="F19" s="147"/>
      <c r="G19" s="147"/>
      <c r="H19" s="147"/>
      <c r="I19" s="147"/>
      <c r="J19" s="147"/>
      <c r="K19" s="147"/>
      <c r="L19" s="147"/>
      <c r="M19" s="147"/>
      <c r="N19" s="147"/>
      <c r="O19" s="147"/>
    </row>
    <row r="20" spans="1:15">
      <c r="A20" s="147"/>
      <c r="B20" s="147"/>
      <c r="C20" s="147"/>
      <c r="D20" s="147"/>
      <c r="E20" s="147"/>
      <c r="F20" s="147"/>
      <c r="G20" s="147"/>
      <c r="H20" s="147"/>
      <c r="I20" s="147"/>
      <c r="J20" s="147"/>
      <c r="K20" s="147"/>
      <c r="L20" s="147"/>
      <c r="M20" s="147"/>
      <c r="N20" s="147"/>
      <c r="O20" s="147"/>
    </row>
    <row r="21" spans="1:15">
      <c r="A21" s="147"/>
      <c r="B21" s="147"/>
      <c r="C21" s="147"/>
      <c r="D21" s="147"/>
      <c r="E21" s="147"/>
      <c r="F21" s="147"/>
      <c r="G21" s="147"/>
      <c r="H21" s="147"/>
      <c r="I21" s="147"/>
      <c r="J21" s="147"/>
      <c r="K21" s="147"/>
      <c r="L21" s="147"/>
      <c r="M21" s="147"/>
      <c r="N21" s="147"/>
      <c r="O21" s="147"/>
    </row>
    <row r="22" spans="1:15">
      <c r="A22" s="147"/>
      <c r="B22" s="147"/>
      <c r="C22" s="147"/>
      <c r="D22" s="147"/>
      <c r="E22" s="147"/>
      <c r="F22" s="147"/>
      <c r="G22" s="147"/>
      <c r="H22" s="147"/>
      <c r="I22" s="147"/>
      <c r="J22" s="147"/>
      <c r="K22" s="147"/>
      <c r="L22" s="147"/>
      <c r="M22" s="147"/>
      <c r="N22" s="147"/>
      <c r="O22" s="147"/>
    </row>
    <row r="23" spans="1:15">
      <c r="A23" s="147"/>
      <c r="B23" s="147"/>
      <c r="C23" s="147"/>
      <c r="D23" s="147"/>
      <c r="E23" s="147"/>
      <c r="F23" s="147"/>
      <c r="G23" s="147"/>
      <c r="H23" s="147"/>
      <c r="I23" s="147"/>
      <c r="J23" s="147"/>
      <c r="K23" s="147"/>
      <c r="L23" s="147"/>
      <c r="M23" s="147"/>
      <c r="N23" s="147"/>
      <c r="O23" s="147"/>
    </row>
    <row r="24" spans="1:15">
      <c r="A24" s="147"/>
      <c r="B24" s="147"/>
      <c r="C24" s="147"/>
      <c r="D24" s="147"/>
      <c r="E24" s="147"/>
      <c r="F24" s="147"/>
      <c r="G24" s="147"/>
      <c r="H24" s="147"/>
      <c r="I24" s="147"/>
      <c r="J24" s="147"/>
      <c r="K24" s="147"/>
      <c r="L24" s="147"/>
      <c r="M24" s="147"/>
      <c r="N24" s="147"/>
      <c r="O24" s="147"/>
    </row>
    <row r="25" spans="1:15">
      <c r="A25" s="147"/>
      <c r="B25" s="147"/>
      <c r="C25" s="147"/>
      <c r="D25" s="147"/>
      <c r="E25" s="147"/>
      <c r="F25" s="147"/>
      <c r="G25" s="147"/>
      <c r="H25" s="147"/>
      <c r="I25" s="147"/>
      <c r="J25" s="147"/>
      <c r="K25" s="147"/>
      <c r="L25" s="147"/>
      <c r="M25" s="147"/>
      <c r="N25" s="147"/>
      <c r="O25" s="147"/>
    </row>
    <row r="26" spans="1:15">
      <c r="A26" s="147"/>
      <c r="B26" s="147"/>
      <c r="C26" s="147"/>
      <c r="D26" s="147"/>
      <c r="E26" s="147"/>
      <c r="F26" s="147"/>
      <c r="G26" s="147"/>
      <c r="H26" s="147"/>
      <c r="I26" s="147"/>
      <c r="J26" s="147"/>
      <c r="K26" s="147"/>
      <c r="L26" s="147"/>
      <c r="M26" s="147"/>
      <c r="N26" s="147"/>
      <c r="O26" s="147"/>
    </row>
    <row r="27" spans="1:15">
      <c r="A27" s="147"/>
      <c r="B27" s="147"/>
      <c r="C27" s="147"/>
      <c r="D27" s="147"/>
      <c r="E27" s="147"/>
      <c r="F27" s="147"/>
      <c r="G27" s="147"/>
      <c r="H27" s="147"/>
      <c r="I27" s="147"/>
      <c r="J27" s="147"/>
      <c r="K27" s="147"/>
      <c r="L27" s="147"/>
      <c r="M27" s="147"/>
      <c r="N27" s="147"/>
      <c r="O27" s="147"/>
    </row>
  </sheetData>
  <phoneticPr fontId="0" type="noConversion"/>
  <printOptions headings="1"/>
  <pageMargins left="0.78740157480314965" right="0.78740157480314965" top="0.98425196850393704" bottom="0.98425196850393704" header="0.51181102362204722" footer="0.51181102362204722"/>
  <pageSetup paperSize="9" orientation="portrait" blackAndWhite="1" horizontalDpi="300" verticalDpi="300" r:id="rId1"/>
  <headerFooter alignWithMargins="0">
    <oddHeader>&amp;A</oddHeader>
    <oddFooter>Seite &amp;P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E8" sqref="E8"/>
    </sheetView>
  </sheetViews>
  <sheetFormatPr baseColWidth="10" defaultRowHeight="15"/>
  <cols>
    <col min="1" max="1" width="21.42578125" style="428" customWidth="1"/>
    <col min="2" max="2" width="11.42578125" style="428"/>
    <col min="3" max="3" width="12.28515625" style="432" bestFit="1" customWidth="1"/>
    <col min="4" max="4" width="15.140625" style="428" customWidth="1"/>
    <col min="5" max="5" width="11.42578125" style="428"/>
    <col min="6" max="6" width="12.28515625" style="432" bestFit="1" customWidth="1"/>
    <col min="7" max="16384" width="11.42578125" style="428"/>
  </cols>
  <sheetData>
    <row r="1" spans="1:9" s="505" customFormat="1" ht="18.75">
      <c r="A1" s="460" t="s">
        <v>562</v>
      </c>
      <c r="B1" s="460"/>
      <c r="C1" s="460"/>
      <c r="D1" s="460"/>
      <c r="E1" s="460"/>
      <c r="F1" s="460"/>
      <c r="G1" s="460"/>
      <c r="H1" s="460"/>
      <c r="I1" s="460"/>
    </row>
    <row r="2" spans="1:9">
      <c r="A2" s="450"/>
      <c r="B2" s="450"/>
      <c r="C2" s="450"/>
      <c r="D2" s="450"/>
      <c r="E2" s="450"/>
      <c r="F2" s="450"/>
      <c r="G2" s="450"/>
      <c r="H2" s="450"/>
      <c r="I2" s="450"/>
    </row>
    <row r="3" spans="1:9">
      <c r="A3" s="450"/>
      <c r="B3" s="450"/>
      <c r="C3" s="450"/>
      <c r="D3" s="450"/>
      <c r="E3" s="450"/>
      <c r="F3" s="450"/>
      <c r="G3" s="450"/>
      <c r="H3" s="450"/>
      <c r="I3" s="450"/>
    </row>
    <row r="4" spans="1:9" ht="18.75">
      <c r="A4" s="460" t="s">
        <v>563</v>
      </c>
      <c r="B4" s="450"/>
      <c r="C4" s="464"/>
      <c r="D4" s="450"/>
      <c r="E4" s="450"/>
      <c r="F4" s="452"/>
      <c r="G4" s="450"/>
      <c r="H4" s="450"/>
      <c r="I4" s="450"/>
    </row>
    <row r="5" spans="1:9">
      <c r="A5" s="450"/>
      <c r="B5" s="450"/>
      <c r="C5" s="458"/>
      <c r="D5" s="450"/>
      <c r="E5" s="450"/>
      <c r="F5" s="452"/>
      <c r="G5" s="450"/>
      <c r="H5" s="450"/>
      <c r="I5" s="450"/>
    </row>
    <row r="6" spans="1:9" ht="21" customHeight="1">
      <c r="A6" s="461" t="s">
        <v>506</v>
      </c>
      <c r="B6" s="465" t="s">
        <v>507</v>
      </c>
      <c r="C6" s="466" t="s">
        <v>508</v>
      </c>
      <c r="D6" s="465" t="s">
        <v>509</v>
      </c>
      <c r="E6" s="465" t="s">
        <v>510</v>
      </c>
      <c r="F6" s="452"/>
      <c r="G6" s="467" t="s">
        <v>511</v>
      </c>
      <c r="H6" s="450"/>
      <c r="I6" s="450"/>
    </row>
    <row r="7" spans="1:9" ht="21" customHeight="1">
      <c r="A7" s="462" t="s">
        <v>512</v>
      </c>
      <c r="B7" s="468" t="s">
        <v>100</v>
      </c>
      <c r="C7" s="469" t="s">
        <v>269</v>
      </c>
      <c r="D7" s="468" t="s">
        <v>100</v>
      </c>
      <c r="E7" s="468" t="s">
        <v>100</v>
      </c>
      <c r="F7" s="452"/>
      <c r="G7" s="463" t="s">
        <v>100</v>
      </c>
      <c r="H7" s="450"/>
      <c r="I7" s="450"/>
    </row>
    <row r="8" spans="1:9" ht="21" customHeight="1">
      <c r="A8" s="463" t="s">
        <v>513</v>
      </c>
      <c r="B8" s="429">
        <v>50</v>
      </c>
      <c r="C8" s="429">
        <v>50</v>
      </c>
      <c r="D8" s="429">
        <v>60</v>
      </c>
      <c r="E8" s="429">
        <v>50</v>
      </c>
      <c r="F8" s="452"/>
      <c r="G8" s="429">
        <v>70</v>
      </c>
      <c r="H8" s="450"/>
      <c r="I8" s="450"/>
    </row>
    <row r="9" spans="1:9" ht="21" customHeight="1">
      <c r="A9" s="463" t="s">
        <v>524</v>
      </c>
      <c r="B9" s="429">
        <v>60</v>
      </c>
      <c r="C9" s="429">
        <v>60</v>
      </c>
      <c r="D9" s="429">
        <v>60</v>
      </c>
      <c r="E9" s="429">
        <v>60</v>
      </c>
      <c r="F9" s="452"/>
      <c r="G9" s="429">
        <v>60</v>
      </c>
      <c r="H9" s="450"/>
      <c r="I9" s="450"/>
    </row>
    <row r="10" spans="1:9" ht="21" customHeight="1">
      <c r="A10" s="463" t="s">
        <v>514</v>
      </c>
      <c r="B10" s="430">
        <v>0.5</v>
      </c>
      <c r="C10" s="430">
        <v>0.5</v>
      </c>
      <c r="D10" s="430">
        <f>8/12</f>
        <v>0.66666666666666663</v>
      </c>
      <c r="E10" s="430">
        <v>0.75</v>
      </c>
      <c r="F10" s="452"/>
      <c r="G10" s="430">
        <f>5/12</f>
        <v>0.41666666666666669</v>
      </c>
      <c r="H10" s="450"/>
      <c r="I10" s="450"/>
    </row>
    <row r="11" spans="1:9" ht="21" customHeight="1">
      <c r="A11" s="463" t="s">
        <v>553</v>
      </c>
      <c r="B11" s="431">
        <v>0.25</v>
      </c>
      <c r="C11" s="431">
        <v>0.25</v>
      </c>
      <c r="D11" s="431">
        <v>0.25</v>
      </c>
      <c r="E11" s="431">
        <v>0.25</v>
      </c>
      <c r="F11" s="452"/>
      <c r="G11" s="431">
        <v>0.2</v>
      </c>
      <c r="H11" s="450"/>
      <c r="I11" s="450"/>
    </row>
    <row r="12" spans="1:9" ht="21" customHeight="1">
      <c r="A12" s="463" t="s">
        <v>554</v>
      </c>
      <c r="B12" s="431">
        <v>0.04</v>
      </c>
      <c r="C12" s="431">
        <v>0.04</v>
      </c>
      <c r="D12" s="431">
        <v>0.04</v>
      </c>
      <c r="E12" s="431">
        <v>0.04</v>
      </c>
      <c r="F12" s="452"/>
      <c r="G12" s="431">
        <v>0.03</v>
      </c>
      <c r="H12" s="450"/>
      <c r="I12" s="450"/>
    </row>
    <row r="13" spans="1:9" ht="21" customHeight="1">
      <c r="A13" s="463" t="s">
        <v>525</v>
      </c>
      <c r="B13" s="431">
        <v>0</v>
      </c>
      <c r="C13" s="463">
        <v>0</v>
      </c>
      <c r="D13" s="463">
        <v>0</v>
      </c>
      <c r="E13" s="463">
        <v>0</v>
      </c>
      <c r="F13" s="452"/>
      <c r="G13" s="431">
        <v>0</v>
      </c>
      <c r="H13" s="450"/>
      <c r="I13" s="450"/>
    </row>
    <row r="14" spans="1:9" ht="21" customHeight="1">
      <c r="A14" s="463" t="s">
        <v>520</v>
      </c>
      <c r="B14" s="510">
        <f>((LN(B9/B8)+(B12-B13)*(B10))/(B11*SQRT(B10)))+(0.5*B11*SQRT(B10))</f>
        <v>1.2328919059621144</v>
      </c>
      <c r="C14" s="510">
        <f>((LN(C9/C8)+(C12-C13)*(C10))/(C11*SQRT(C10)))+(0.5*C11*SQRT(C10))</f>
        <v>1.2328919059621144</v>
      </c>
      <c r="D14" s="511">
        <f>((LN(D9/D8)+(D12-D13)*(D10))/(D11*SQRT(D10)))+(0.5*D11*SQRT(D10))</f>
        <v>0.23270152556440191</v>
      </c>
      <c r="E14" s="510">
        <f>((LN(E9/E8)+(E12-E13)*(E10))/(E11*SQRT(E10)))+(0.5*E11*SQRT(E10))</f>
        <v>1.0889244392310558</v>
      </c>
      <c r="F14" s="452"/>
      <c r="G14" s="452">
        <f>((LN(G9/G8)+(G12-G13)*(G10))/(G11*SQRT(G10)))+(0.5*G11*SQRT(G10))</f>
        <v>-1.0326717254630704</v>
      </c>
      <c r="H14" s="450"/>
      <c r="I14" s="450"/>
    </row>
    <row r="15" spans="1:9" ht="21" customHeight="1">
      <c r="A15" s="463" t="s">
        <v>521</v>
      </c>
      <c r="B15" s="510">
        <f>NORMSDIST(B14)</f>
        <v>0.89119195217307368</v>
      </c>
      <c r="C15" s="510">
        <f>NORMSDIST(C14)</f>
        <v>0.89119195217307368</v>
      </c>
      <c r="D15" s="510">
        <f>NORMSDIST(D14)</f>
        <v>0.59200340774800653</v>
      </c>
      <c r="E15" s="510">
        <f>NORMSDIST(E14)</f>
        <v>0.86190639601328867</v>
      </c>
      <c r="F15" s="450"/>
      <c r="G15" s="450">
        <f>NORMSDIST(G14)</f>
        <v>0.15087877484074108</v>
      </c>
      <c r="H15" s="450"/>
      <c r="I15" s="450"/>
    </row>
    <row r="16" spans="1:9" ht="21" customHeight="1">
      <c r="A16" s="463" t="s">
        <v>522</v>
      </c>
      <c r="B16" s="510">
        <f>B14-(B11*SQRT(B10))</f>
        <v>1.0561152106654774</v>
      </c>
      <c r="C16" s="510">
        <f>C14-(C11*SQRT(C10))</f>
        <v>1.0561152106654774</v>
      </c>
      <c r="D16" s="510">
        <f>D14-(D11*SQRT(D10))</f>
        <v>2.8577380332470398E-2</v>
      </c>
      <c r="E16" s="510">
        <f>E14-(E11*SQRT(E10))</f>
        <v>0.87241808828494616</v>
      </c>
      <c r="F16" s="453"/>
      <c r="G16" s="453">
        <f>G14-(G11*SQRT(G10))</f>
        <v>-1.1617711703366509</v>
      </c>
      <c r="H16" s="450"/>
      <c r="I16" s="450"/>
    </row>
    <row r="17" spans="1:9" ht="21" customHeight="1">
      <c r="A17" s="463" t="s">
        <v>523</v>
      </c>
      <c r="B17" s="510">
        <f>NORMSDIST(B16)</f>
        <v>0.8545422090382202</v>
      </c>
      <c r="C17" s="510">
        <f>NORMSDIST(C16)</f>
        <v>0.8545422090382202</v>
      </c>
      <c r="D17" s="510">
        <f>NORMSDIST(D16)</f>
        <v>0.5113991737024226</v>
      </c>
      <c r="E17" s="510">
        <f>NORMSDIST(E16)</f>
        <v>0.80850983189762671</v>
      </c>
      <c r="F17" s="450"/>
      <c r="G17" s="450">
        <f>NORMSDIST(G16)</f>
        <v>0.12266421377693691</v>
      </c>
      <c r="H17" s="450"/>
      <c r="I17" s="450"/>
    </row>
    <row r="18" spans="1:9" ht="37.5" customHeight="1">
      <c r="A18" s="454" t="s">
        <v>552</v>
      </c>
      <c r="B18" s="455">
        <f>(B9*EXP(-B13*B10)*B15)-(B8*EXP(-B12*B10)*B17)</f>
        <v>11.590460151190051</v>
      </c>
      <c r="C18" s="455">
        <f>(C8*EXP(-C12*C10)*NORMSDIST(-C16))-(C9*EXP(-C13*C10)*NORMSDIST(-C14))</f>
        <v>0.60039381652781731</v>
      </c>
      <c r="D18" s="455">
        <f>(D9*EXP(-D13*D10)*D15)-(D8*EXP(-D12*D10)*D17)</f>
        <v>5.6436792049790405</v>
      </c>
      <c r="E18" s="455">
        <f>(E9*EXP(-E13*E10)*E15)-(E8*EXP(-E12*E10)*E17)</f>
        <v>12.483646001041969</v>
      </c>
      <c r="F18" s="453"/>
      <c r="G18" s="456">
        <f>(G9*EXP(-G13*G10)*G15)-(G8*EXP(-G12*G10)*G17)</f>
        <v>0.57289467956476159</v>
      </c>
      <c r="H18" s="450" t="s">
        <v>228</v>
      </c>
      <c r="I18" s="450"/>
    </row>
    <row r="19" spans="1:9" ht="21" customHeight="1">
      <c r="A19" s="454" t="s">
        <v>555</v>
      </c>
      <c r="B19" s="496">
        <f>B18</f>
        <v>11.590460151190051</v>
      </c>
      <c r="C19" s="496">
        <f>C18</f>
        <v>0.60039381652781731</v>
      </c>
      <c r="D19" s="496">
        <f>D18</f>
        <v>5.6436792049790405</v>
      </c>
      <c r="E19" s="496">
        <f>E18</f>
        <v>12.483646001041969</v>
      </c>
      <c r="F19" s="453"/>
      <c r="G19" s="457"/>
      <c r="H19" s="450"/>
      <c r="I19" s="450"/>
    </row>
    <row r="20" spans="1:9" ht="21" customHeight="1">
      <c r="A20" s="463" t="s">
        <v>527</v>
      </c>
      <c r="B20" s="506">
        <f>MAX(0,B9-B8)</f>
        <v>10</v>
      </c>
      <c r="C20" s="506">
        <f>MAX(0,C8-C9)</f>
        <v>0</v>
      </c>
      <c r="D20" s="506">
        <f>MAX(0,D9-D8)</f>
        <v>0</v>
      </c>
      <c r="E20" s="506">
        <f>MAX(0,E9-E8)</f>
        <v>10</v>
      </c>
      <c r="F20" s="458"/>
      <c r="G20" s="458">
        <f>MAX(0,G9-G8)</f>
        <v>0</v>
      </c>
      <c r="H20" s="450"/>
      <c r="I20" s="450"/>
    </row>
    <row r="21" spans="1:9" ht="21" customHeight="1">
      <c r="A21" s="463" t="s">
        <v>526</v>
      </c>
      <c r="B21" s="456">
        <f>B18-B20</f>
        <v>1.5904601511900509</v>
      </c>
      <c r="C21" s="456">
        <f>C18-C20</f>
        <v>0.60039381652781731</v>
      </c>
      <c r="D21" s="456">
        <f>D18-D20</f>
        <v>5.6436792049790405</v>
      </c>
      <c r="E21" s="456">
        <f>E18-E20</f>
        <v>2.4836460010419685</v>
      </c>
      <c r="F21" s="458"/>
      <c r="G21" s="458">
        <f>G18-G20</f>
        <v>0.57289467956476159</v>
      </c>
      <c r="H21" s="450"/>
      <c r="I21" s="450"/>
    </row>
    <row r="22" spans="1:9" ht="21" customHeight="1">
      <c r="A22" s="463" t="s">
        <v>528</v>
      </c>
      <c r="B22" s="507">
        <f>(B8+(B18/1)-B9)/B9</f>
        <v>2.6507669186500847E-2</v>
      </c>
      <c r="C22" s="508">
        <f>(C9-C8+C18/1)/C9</f>
        <v>0.17667323027546361</v>
      </c>
      <c r="D22" s="507">
        <f>(D8+(D18/1)-D9)/D9</f>
        <v>9.4061320082983943E-2</v>
      </c>
      <c r="E22" s="507">
        <f>(E8+(E18/1)-E9)/E9</f>
        <v>4.1394100017366139E-2</v>
      </c>
      <c r="F22" s="453"/>
      <c r="G22" s="453">
        <f>(G8+(G18/1)-G9)/G9</f>
        <v>0.17621491132607947</v>
      </c>
      <c r="H22" s="450"/>
      <c r="I22" s="450"/>
    </row>
    <row r="23" spans="1:9" ht="21" customHeight="1">
      <c r="A23" s="463" t="s">
        <v>105</v>
      </c>
      <c r="B23" s="456">
        <f>B8+B18</f>
        <v>61.590460151190051</v>
      </c>
      <c r="C23" s="456">
        <f>C8-C18</f>
        <v>49.39960618347218</v>
      </c>
      <c r="D23" s="456">
        <f>D8+D18</f>
        <v>65.643679204979037</v>
      </c>
      <c r="E23" s="456">
        <f>E8+E18</f>
        <v>62.483646001041969</v>
      </c>
      <c r="F23" s="458"/>
      <c r="G23" s="458">
        <f>G8+G18</f>
        <v>70.572894679564769</v>
      </c>
      <c r="H23" s="450"/>
      <c r="I23" s="450"/>
    </row>
    <row r="24" spans="1:9" ht="21" customHeight="1">
      <c r="A24" s="463" t="s">
        <v>515</v>
      </c>
      <c r="B24" s="509">
        <f>(B9/B18)</f>
        <v>5.1766710913405367</v>
      </c>
      <c r="C24" s="509">
        <f>(C9/C18)</f>
        <v>99.934406964732773</v>
      </c>
      <c r="D24" s="509">
        <f>(D9/D18)</f>
        <v>10.63136259535553</v>
      </c>
      <c r="E24" s="509">
        <f>(E9/E18)</f>
        <v>4.8062881625281584</v>
      </c>
      <c r="F24" s="459"/>
      <c r="G24" s="459">
        <f>(G9/G18)</f>
        <v>104.73129205106788</v>
      </c>
      <c r="H24" s="450"/>
      <c r="I24" s="450"/>
    </row>
    <row r="25" spans="1:9" ht="21" customHeight="1">
      <c r="A25" s="463" t="s">
        <v>516</v>
      </c>
      <c r="B25" s="463">
        <f>1/SQRT(2*PI())*EXP(-(B14^2)/2)</f>
        <v>0.18656981643388768</v>
      </c>
      <c r="C25" s="463">
        <f>1/SQRT(2*PI())*EXP(-(C14^2)/2)</f>
        <v>0.18656981643388768</v>
      </c>
      <c r="D25" s="463">
        <f>1/SQRT(2*PI())*EXP(-(D14^2)/2)</f>
        <v>0.38828583081869605</v>
      </c>
      <c r="E25" s="463">
        <f>1/SQRT(2*PI())*EXP(-(E14^2)/2)</f>
        <v>0.22050900401759951</v>
      </c>
      <c r="F25" s="458"/>
      <c r="G25" s="450"/>
      <c r="H25" s="450"/>
      <c r="I25" s="450"/>
    </row>
    <row r="26" spans="1:9" ht="21" customHeight="1">
      <c r="A26" s="463" t="s">
        <v>517</v>
      </c>
      <c r="B26" s="463">
        <f>B15</f>
        <v>0.89119195217307368</v>
      </c>
      <c r="C26" s="509">
        <f>C15-1</f>
        <v>-0.10880804782692632</v>
      </c>
      <c r="D26" s="463">
        <f>D15</f>
        <v>0.59200340774800653</v>
      </c>
      <c r="E26" s="463">
        <f>E15</f>
        <v>0.86190639601328867</v>
      </c>
      <c r="F26" s="458"/>
      <c r="G26" s="450"/>
      <c r="H26" s="450"/>
      <c r="I26" s="450"/>
    </row>
    <row r="27" spans="1:9" ht="21" customHeight="1">
      <c r="A27" s="463" t="s">
        <v>518</v>
      </c>
      <c r="B27" s="510">
        <f>B25/(B9*B11*SQRT(B10))</f>
        <v>1.7589970982017512E-2</v>
      </c>
      <c r="C27" s="510">
        <f>C25/(C9*C11*SQRT(C10))</f>
        <v>1.7589970982017512E-2</v>
      </c>
      <c r="D27" s="510">
        <f>D25/(D9*D11*SQRT(D10))</f>
        <v>3.1703405328614681E-2</v>
      </c>
      <c r="E27" s="510">
        <f>E25/(E9*E11*SQRT(E10))</f>
        <v>1.6974791043772981E-2</v>
      </c>
      <c r="F27" s="458"/>
      <c r="G27" s="450"/>
      <c r="H27" s="450"/>
      <c r="I27" s="450"/>
    </row>
    <row r="28" spans="1:9" ht="21" customHeight="1">
      <c r="A28" s="463" t="s">
        <v>426</v>
      </c>
      <c r="B28" s="463">
        <f>B9/B18*B15</f>
        <v>4.613407615649689</v>
      </c>
      <c r="C28" s="463">
        <f>C9/C18*(C15-1)</f>
        <v>-10.873667732574162</v>
      </c>
      <c r="D28" s="463">
        <f>D9/D18*D15</f>
        <v>6.2938028854551646</v>
      </c>
      <c r="E28" s="463">
        <f>E9/E18*E15</f>
        <v>4.1425705083659761</v>
      </c>
      <c r="F28" s="458"/>
      <c r="G28" s="450"/>
      <c r="H28" s="450"/>
      <c r="I28" s="450"/>
    </row>
    <row r="29" spans="1:9" ht="21" customHeight="1">
      <c r="A29" s="450"/>
      <c r="B29" s="450"/>
      <c r="C29" s="458"/>
      <c r="D29" s="450"/>
      <c r="E29" s="450"/>
      <c r="F29" s="458"/>
      <c r="G29" s="450"/>
      <c r="H29" s="450"/>
      <c r="I29" s="450"/>
    </row>
    <row r="30" spans="1:9">
      <c r="A30" s="450" t="s">
        <v>519</v>
      </c>
      <c r="B30" s="451">
        <f>B9*B25*SQRT(B10)</f>
        <v>7.9154869419078819</v>
      </c>
      <c r="C30" s="451">
        <f>C9*C25*SQRT(C10)</f>
        <v>7.9154869419078819</v>
      </c>
      <c r="D30" s="451">
        <f>D9*D25*SQRT(D10)</f>
        <v>19.022043197168806</v>
      </c>
      <c r="E30" s="451">
        <f>E9*E25*SQRT(E10)</f>
        <v>11.45798395454676</v>
      </c>
      <c r="F30" s="458"/>
      <c r="G30" s="450"/>
      <c r="H30" s="450"/>
      <c r="I30" s="450"/>
    </row>
    <row r="31" spans="1:9">
      <c r="A31" s="450"/>
      <c r="B31" s="450"/>
      <c r="C31" s="458"/>
      <c r="D31" s="450"/>
      <c r="E31" s="450"/>
      <c r="F31" s="458"/>
      <c r="G31" s="450"/>
      <c r="H31" s="450"/>
      <c r="I31" s="450"/>
    </row>
    <row r="32" spans="1:9">
      <c r="A32" s="450"/>
      <c r="B32" s="450"/>
      <c r="C32" s="458"/>
      <c r="D32" s="450"/>
      <c r="E32" s="450"/>
      <c r="F32" s="458"/>
      <c r="G32" s="450"/>
      <c r="H32" s="450"/>
      <c r="I32" s="450"/>
    </row>
  </sheetData>
  <phoneticPr fontId="0" type="noConversion"/>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workbookViewId="0">
      <selection activeCell="B4" sqref="B4"/>
    </sheetView>
  </sheetViews>
  <sheetFormatPr baseColWidth="10" defaultRowHeight="12.75"/>
  <cols>
    <col min="1" max="1" width="21" customWidth="1"/>
  </cols>
  <sheetData>
    <row r="1" spans="1:28">
      <c r="A1" s="84" t="s">
        <v>448</v>
      </c>
      <c r="B1" s="70"/>
      <c r="C1" s="70"/>
      <c r="D1" s="70"/>
      <c r="E1" s="70"/>
      <c r="F1" s="70"/>
      <c r="G1" s="70"/>
      <c r="H1" s="70"/>
      <c r="I1" s="70"/>
      <c r="J1" s="70"/>
      <c r="K1" s="70"/>
      <c r="L1" s="70"/>
      <c r="M1" s="70"/>
      <c r="N1" s="70"/>
      <c r="O1" s="70"/>
    </row>
    <row r="2" spans="1:28">
      <c r="A2" s="70"/>
      <c r="B2" s="70"/>
      <c r="C2" s="70"/>
      <c r="D2" s="70"/>
      <c r="E2" s="70"/>
      <c r="F2" s="70"/>
      <c r="G2" s="70"/>
      <c r="H2" s="70"/>
      <c r="I2" s="70"/>
      <c r="J2" s="70"/>
      <c r="K2" s="70"/>
      <c r="L2" s="70"/>
      <c r="M2" s="70"/>
      <c r="N2" s="70"/>
      <c r="O2" s="70"/>
    </row>
    <row r="3" spans="1:28">
      <c r="A3" s="70"/>
      <c r="B3" s="70"/>
      <c r="C3" s="70"/>
      <c r="D3" s="70"/>
      <c r="E3" s="70"/>
      <c r="F3" s="70"/>
      <c r="G3" s="70"/>
      <c r="H3" s="70"/>
      <c r="I3" s="70"/>
      <c r="J3" s="70"/>
      <c r="K3" s="70"/>
      <c r="L3" s="70"/>
      <c r="M3" s="70"/>
      <c r="N3" s="70"/>
      <c r="O3" s="70"/>
    </row>
    <row r="4" spans="1:28">
      <c r="A4" s="70" t="s">
        <v>28</v>
      </c>
      <c r="B4" s="192">
        <v>38626</v>
      </c>
      <c r="C4" s="70"/>
      <c r="D4" s="70"/>
      <c r="E4" s="70"/>
      <c r="F4" s="70"/>
      <c r="G4" s="70"/>
      <c r="H4" s="70"/>
      <c r="I4" s="70"/>
      <c r="J4" s="70"/>
      <c r="K4" s="70"/>
      <c r="L4" s="70"/>
      <c r="M4" s="70"/>
      <c r="N4" s="70"/>
      <c r="O4" s="70"/>
    </row>
    <row r="5" spans="1:28">
      <c r="A5" s="70" t="s">
        <v>449</v>
      </c>
      <c r="B5" s="192">
        <v>38991</v>
      </c>
      <c r="C5" s="70"/>
      <c r="D5" s="70"/>
      <c r="E5" s="70"/>
      <c r="F5" s="70"/>
      <c r="G5" s="70"/>
      <c r="H5" s="70"/>
      <c r="I5" s="70"/>
      <c r="J5" s="70"/>
      <c r="K5" s="70"/>
      <c r="L5" s="70"/>
      <c r="M5" s="70"/>
      <c r="N5" s="70"/>
      <c r="O5" s="70"/>
    </row>
    <row r="6" spans="1:28">
      <c r="A6" s="70" t="s">
        <v>13</v>
      </c>
      <c r="B6" s="70">
        <f>(B5-B4)/365</f>
        <v>1</v>
      </c>
      <c r="C6" s="70"/>
      <c r="D6" s="70"/>
      <c r="E6" s="70"/>
      <c r="F6" s="70"/>
      <c r="G6" s="70"/>
      <c r="H6" s="70"/>
      <c r="I6" s="70"/>
      <c r="J6" s="70"/>
      <c r="K6" s="70"/>
      <c r="L6" s="70"/>
      <c r="M6" s="70"/>
      <c r="N6" s="70"/>
      <c r="O6" s="70"/>
    </row>
    <row r="7" spans="1:28">
      <c r="A7" s="70" t="s">
        <v>450</v>
      </c>
      <c r="B7" s="6">
        <v>0.02</v>
      </c>
      <c r="C7" s="70"/>
      <c r="D7" s="70"/>
      <c r="E7" s="70"/>
      <c r="F7" s="70"/>
      <c r="G7" s="70"/>
      <c r="H7" s="70"/>
      <c r="I7" s="70"/>
      <c r="J7" s="70"/>
      <c r="K7" s="70"/>
      <c r="L7" s="70"/>
      <c r="M7" s="70"/>
      <c r="N7" s="70"/>
      <c r="O7" s="70"/>
    </row>
    <row r="8" spans="1:28">
      <c r="A8" s="70" t="s">
        <v>451</v>
      </c>
      <c r="B8" s="6">
        <v>0.03</v>
      </c>
      <c r="C8" s="70"/>
      <c r="D8" s="70"/>
      <c r="E8" s="70"/>
      <c r="F8" s="70"/>
      <c r="G8" s="70"/>
      <c r="H8" s="70"/>
      <c r="I8" s="70"/>
      <c r="J8" s="70"/>
      <c r="K8" s="70"/>
      <c r="L8" s="70"/>
      <c r="M8" s="70"/>
      <c r="N8" s="70"/>
      <c r="O8" s="70"/>
    </row>
    <row r="9" spans="1:28">
      <c r="A9" s="70" t="s">
        <v>452</v>
      </c>
      <c r="B9" s="6">
        <v>0.1</v>
      </c>
      <c r="C9" s="70"/>
      <c r="D9" s="70"/>
      <c r="E9" s="70"/>
      <c r="F9" s="70"/>
      <c r="G9" s="70"/>
      <c r="H9" s="70"/>
      <c r="I9" s="70"/>
      <c r="J9" s="70"/>
      <c r="K9" s="70"/>
      <c r="L9" s="70"/>
      <c r="M9" s="70"/>
      <c r="N9" s="70"/>
      <c r="O9" s="70"/>
    </row>
    <row r="10" spans="1:28">
      <c r="A10" s="70"/>
      <c r="B10" s="70"/>
      <c r="C10" s="70"/>
      <c r="D10" s="70"/>
      <c r="E10" s="70"/>
      <c r="F10" s="70"/>
      <c r="G10" s="70"/>
      <c r="H10" s="70"/>
      <c r="I10" s="70"/>
      <c r="J10" s="70"/>
      <c r="K10" s="70"/>
      <c r="L10" s="70"/>
      <c r="M10" s="70"/>
      <c r="N10" s="70"/>
      <c r="O10" s="70"/>
    </row>
    <row r="11" spans="1:28">
      <c r="A11" s="70" t="s">
        <v>453</v>
      </c>
      <c r="B11" s="74">
        <v>1.1200000000000001</v>
      </c>
      <c r="C11" s="70">
        <f>$B$11</f>
        <v>1.1200000000000001</v>
      </c>
      <c r="D11" s="70">
        <f t="shared" ref="D11:AB11" si="0">$B$11</f>
        <v>1.1200000000000001</v>
      </c>
      <c r="E11" s="70">
        <f t="shared" si="0"/>
        <v>1.1200000000000001</v>
      </c>
      <c r="F11" s="70">
        <f t="shared" si="0"/>
        <v>1.1200000000000001</v>
      </c>
      <c r="G11" s="70">
        <f t="shared" si="0"/>
        <v>1.1200000000000001</v>
      </c>
      <c r="H11" s="70">
        <f t="shared" si="0"/>
        <v>1.1200000000000001</v>
      </c>
      <c r="I11" s="70">
        <f t="shared" si="0"/>
        <v>1.1200000000000001</v>
      </c>
      <c r="J11" s="70">
        <f t="shared" si="0"/>
        <v>1.1200000000000001</v>
      </c>
      <c r="K11" s="70">
        <f t="shared" si="0"/>
        <v>1.1200000000000001</v>
      </c>
      <c r="L11" s="70">
        <f t="shared" si="0"/>
        <v>1.1200000000000001</v>
      </c>
      <c r="M11" s="70">
        <f t="shared" si="0"/>
        <v>1.1200000000000001</v>
      </c>
      <c r="N11" s="70">
        <f t="shared" si="0"/>
        <v>1.1200000000000001</v>
      </c>
      <c r="O11" s="70">
        <f t="shared" si="0"/>
        <v>1.1200000000000001</v>
      </c>
      <c r="P11" s="70">
        <f t="shared" si="0"/>
        <v>1.1200000000000001</v>
      </c>
      <c r="Q11" s="70">
        <f t="shared" si="0"/>
        <v>1.1200000000000001</v>
      </c>
      <c r="R11" s="70">
        <f t="shared" si="0"/>
        <v>1.1200000000000001</v>
      </c>
      <c r="S11" s="70">
        <f t="shared" si="0"/>
        <v>1.1200000000000001</v>
      </c>
      <c r="T11" s="70">
        <f t="shared" si="0"/>
        <v>1.1200000000000001</v>
      </c>
      <c r="U11" s="70">
        <f t="shared" si="0"/>
        <v>1.1200000000000001</v>
      </c>
      <c r="V11" s="70">
        <f t="shared" si="0"/>
        <v>1.1200000000000001</v>
      </c>
      <c r="W11" s="70">
        <f t="shared" si="0"/>
        <v>1.1200000000000001</v>
      </c>
      <c r="X11" s="70">
        <f t="shared" si="0"/>
        <v>1.1200000000000001</v>
      </c>
      <c r="Y11" s="70">
        <f t="shared" si="0"/>
        <v>1.1200000000000001</v>
      </c>
      <c r="Z11" s="70">
        <f t="shared" si="0"/>
        <v>1.1200000000000001</v>
      </c>
      <c r="AA11" s="70">
        <f t="shared" si="0"/>
        <v>1.1200000000000001</v>
      </c>
      <c r="AB11" s="70">
        <f t="shared" si="0"/>
        <v>1.1200000000000001</v>
      </c>
    </row>
    <row r="12" spans="1:28">
      <c r="A12" s="70" t="s">
        <v>454</v>
      </c>
      <c r="B12" s="74">
        <v>100</v>
      </c>
      <c r="C12" s="70">
        <v>100</v>
      </c>
      <c r="D12" s="70">
        <v>100</v>
      </c>
      <c r="E12" s="70">
        <v>100</v>
      </c>
      <c r="F12" s="70">
        <v>100</v>
      </c>
      <c r="G12" s="70">
        <v>100</v>
      </c>
      <c r="H12" s="70">
        <v>100</v>
      </c>
      <c r="I12" s="70">
        <v>100</v>
      </c>
      <c r="J12" s="70">
        <v>100</v>
      </c>
      <c r="K12" s="70">
        <v>100</v>
      </c>
      <c r="L12" s="70">
        <v>100</v>
      </c>
      <c r="M12" s="70">
        <v>100</v>
      </c>
      <c r="N12" s="70">
        <v>100</v>
      </c>
      <c r="O12" s="70">
        <v>100</v>
      </c>
      <c r="P12" s="70">
        <v>100</v>
      </c>
      <c r="Q12" s="70">
        <v>100</v>
      </c>
      <c r="R12" s="70">
        <v>100</v>
      </c>
      <c r="S12" s="70">
        <v>100</v>
      </c>
      <c r="T12" s="70">
        <v>100</v>
      </c>
      <c r="U12" s="70">
        <v>100</v>
      </c>
      <c r="V12" s="70">
        <v>100</v>
      </c>
      <c r="W12" s="70">
        <v>100</v>
      </c>
      <c r="X12" s="70">
        <v>100</v>
      </c>
      <c r="Y12" s="70">
        <v>100</v>
      </c>
      <c r="Z12" s="70">
        <v>100</v>
      </c>
      <c r="AA12" s="70">
        <v>100</v>
      </c>
      <c r="AB12" s="70">
        <v>100</v>
      </c>
    </row>
    <row r="13" spans="1:28">
      <c r="A13" s="70"/>
      <c r="B13" s="70"/>
      <c r="C13" s="70"/>
      <c r="D13" s="70"/>
      <c r="E13" s="70"/>
      <c r="F13" s="70"/>
      <c r="G13" s="70"/>
      <c r="H13" s="70"/>
      <c r="I13" s="70"/>
      <c r="J13" s="70"/>
      <c r="K13" s="70"/>
      <c r="L13" s="70"/>
      <c r="M13" s="70"/>
      <c r="N13" s="70"/>
      <c r="O13" s="70"/>
    </row>
    <row r="14" spans="1:28">
      <c r="A14" s="70" t="s">
        <v>455</v>
      </c>
      <c r="B14" s="74">
        <v>1.18</v>
      </c>
      <c r="C14" s="70">
        <v>0.9</v>
      </c>
      <c r="D14" s="70">
        <f>C14+0.02</f>
        <v>0.92</v>
      </c>
      <c r="E14" s="70">
        <f t="shared" ref="E14:AB14" si="1">D14+0.02</f>
        <v>0.94000000000000006</v>
      </c>
      <c r="F14" s="70">
        <f t="shared" si="1"/>
        <v>0.96000000000000008</v>
      </c>
      <c r="G14" s="70">
        <f t="shared" si="1"/>
        <v>0.98000000000000009</v>
      </c>
      <c r="H14" s="70">
        <f t="shared" si="1"/>
        <v>1</v>
      </c>
      <c r="I14" s="70">
        <f t="shared" si="1"/>
        <v>1.02</v>
      </c>
      <c r="J14" s="70">
        <f t="shared" si="1"/>
        <v>1.04</v>
      </c>
      <c r="K14" s="70">
        <f t="shared" si="1"/>
        <v>1.06</v>
      </c>
      <c r="L14" s="70">
        <f t="shared" si="1"/>
        <v>1.08</v>
      </c>
      <c r="M14" s="70">
        <f t="shared" si="1"/>
        <v>1.1000000000000001</v>
      </c>
      <c r="N14" s="70">
        <f t="shared" si="1"/>
        <v>1.1200000000000001</v>
      </c>
      <c r="O14" s="70">
        <f t="shared" si="1"/>
        <v>1.1400000000000001</v>
      </c>
      <c r="P14" s="70">
        <f t="shared" si="1"/>
        <v>1.1600000000000001</v>
      </c>
      <c r="Q14" s="70">
        <f t="shared" si="1"/>
        <v>1.1800000000000002</v>
      </c>
      <c r="R14" s="70">
        <f t="shared" si="1"/>
        <v>1.2000000000000002</v>
      </c>
      <c r="S14" s="70">
        <f t="shared" si="1"/>
        <v>1.2200000000000002</v>
      </c>
      <c r="T14" s="70">
        <f t="shared" si="1"/>
        <v>1.2400000000000002</v>
      </c>
      <c r="U14" s="70">
        <f t="shared" si="1"/>
        <v>1.2600000000000002</v>
      </c>
      <c r="V14" s="70">
        <f t="shared" si="1"/>
        <v>1.2800000000000002</v>
      </c>
      <c r="W14" s="70">
        <f t="shared" si="1"/>
        <v>1.3000000000000003</v>
      </c>
      <c r="X14" s="70">
        <f t="shared" si="1"/>
        <v>1.3200000000000003</v>
      </c>
      <c r="Y14" s="70">
        <f t="shared" si="1"/>
        <v>1.3400000000000003</v>
      </c>
      <c r="Z14" s="70">
        <f t="shared" si="1"/>
        <v>1.3600000000000003</v>
      </c>
      <c r="AA14" s="70">
        <f t="shared" si="1"/>
        <v>1.3800000000000003</v>
      </c>
      <c r="AB14" s="70">
        <f t="shared" si="1"/>
        <v>1.4000000000000004</v>
      </c>
    </row>
    <row r="15" spans="1:28">
      <c r="A15" s="70"/>
      <c r="B15" s="70"/>
      <c r="C15" s="70"/>
      <c r="D15" s="70"/>
      <c r="E15" s="70"/>
      <c r="F15" s="70"/>
      <c r="G15" s="70"/>
      <c r="H15" s="70"/>
      <c r="I15" s="70"/>
      <c r="J15" s="70"/>
      <c r="K15" s="70"/>
      <c r="L15" s="70"/>
      <c r="M15" s="70"/>
      <c r="N15" s="70"/>
      <c r="O15" s="70"/>
    </row>
    <row r="16" spans="1:28">
      <c r="A16" s="70"/>
      <c r="B16" s="70"/>
      <c r="C16" s="70"/>
      <c r="D16" s="70"/>
      <c r="E16" s="70"/>
      <c r="F16" s="70"/>
      <c r="G16" s="70"/>
      <c r="H16" s="70"/>
      <c r="I16" s="70"/>
      <c r="J16" s="70"/>
      <c r="K16" s="70"/>
      <c r="L16" s="70"/>
      <c r="M16" s="70"/>
      <c r="N16" s="70"/>
      <c r="O16" s="70"/>
    </row>
    <row r="17" spans="1:28">
      <c r="A17" s="70" t="s">
        <v>456</v>
      </c>
      <c r="B17" s="155">
        <f t="shared" ref="B17:AB17" si="2">MAX(B14-B11,0)*B12/B14</f>
        <v>5.08474576271185</v>
      </c>
      <c r="C17" s="155">
        <f t="shared" si="2"/>
        <v>0</v>
      </c>
      <c r="D17" s="155">
        <f t="shared" si="2"/>
        <v>0</v>
      </c>
      <c r="E17" s="155">
        <f t="shared" si="2"/>
        <v>0</v>
      </c>
      <c r="F17" s="155">
        <f t="shared" si="2"/>
        <v>0</v>
      </c>
      <c r="G17" s="155">
        <f t="shared" si="2"/>
        <v>0</v>
      </c>
      <c r="H17" s="155">
        <f t="shared" si="2"/>
        <v>0</v>
      </c>
      <c r="I17" s="155">
        <f t="shared" si="2"/>
        <v>0</v>
      </c>
      <c r="J17" s="155">
        <f t="shared" si="2"/>
        <v>0</v>
      </c>
      <c r="K17" s="155">
        <f t="shared" si="2"/>
        <v>0</v>
      </c>
      <c r="L17" s="155">
        <f t="shared" si="2"/>
        <v>0</v>
      </c>
      <c r="M17" s="155">
        <f t="shared" si="2"/>
        <v>0</v>
      </c>
      <c r="N17" s="155">
        <f t="shared" si="2"/>
        <v>0</v>
      </c>
      <c r="O17" s="155">
        <f t="shared" si="2"/>
        <v>1.7543859649122822</v>
      </c>
      <c r="P17" s="155">
        <f t="shared" si="2"/>
        <v>3.448275862068968</v>
      </c>
      <c r="Q17" s="155">
        <f t="shared" si="2"/>
        <v>5.0847457627118686</v>
      </c>
      <c r="R17" s="155">
        <f t="shared" si="2"/>
        <v>6.6666666666666714</v>
      </c>
      <c r="S17" s="155">
        <f t="shared" si="2"/>
        <v>8.1967213114754163</v>
      </c>
      <c r="T17" s="155">
        <f t="shared" si="2"/>
        <v>9.6774193548387171</v>
      </c>
      <c r="U17" s="155">
        <f t="shared" si="2"/>
        <v>11.11111111111112</v>
      </c>
      <c r="V17" s="155">
        <f t="shared" si="2"/>
        <v>12.500000000000009</v>
      </c>
      <c r="W17" s="155">
        <f t="shared" si="2"/>
        <v>13.846153846153854</v>
      </c>
      <c r="X17" s="155">
        <f t="shared" si="2"/>
        <v>15.151515151515161</v>
      </c>
      <c r="Y17" s="155">
        <f t="shared" si="2"/>
        <v>16.417910447761205</v>
      </c>
      <c r="Z17" s="155">
        <f t="shared" si="2"/>
        <v>17.647058823529424</v>
      </c>
      <c r="AA17" s="155">
        <f t="shared" si="2"/>
        <v>18.840579710144937</v>
      </c>
      <c r="AB17" s="155">
        <f t="shared" si="2"/>
        <v>20.000000000000014</v>
      </c>
    </row>
    <row r="18" spans="1:28">
      <c r="A18" s="70" t="s">
        <v>457</v>
      </c>
      <c r="B18" s="155">
        <f t="shared" ref="B18:AB18" si="3">MAX(B11-B14,0)*B12/B14</f>
        <v>0</v>
      </c>
      <c r="C18" s="155">
        <f t="shared" si="3"/>
        <v>24.44444444444445</v>
      </c>
      <c r="D18" s="155">
        <f t="shared" si="3"/>
        <v>21.739130434782616</v>
      </c>
      <c r="E18" s="155">
        <f t="shared" si="3"/>
        <v>19.148936170212767</v>
      </c>
      <c r="F18" s="155">
        <f t="shared" si="3"/>
        <v>16.666666666666668</v>
      </c>
      <c r="G18" s="155">
        <f t="shared" si="3"/>
        <v>14.285714285714286</v>
      </c>
      <c r="H18" s="155">
        <f t="shared" si="3"/>
        <v>12.000000000000011</v>
      </c>
      <c r="I18" s="155">
        <f t="shared" si="3"/>
        <v>9.8039215686274588</v>
      </c>
      <c r="J18" s="155">
        <f t="shared" si="3"/>
        <v>7.6923076923076987</v>
      </c>
      <c r="K18" s="155">
        <f t="shared" si="3"/>
        <v>5.660377358490571</v>
      </c>
      <c r="L18" s="155">
        <f t="shared" si="3"/>
        <v>3.7037037037037068</v>
      </c>
      <c r="M18" s="155">
        <f t="shared" si="3"/>
        <v>1.8181818181818197</v>
      </c>
      <c r="N18" s="155">
        <f t="shared" si="3"/>
        <v>0</v>
      </c>
      <c r="O18" s="155">
        <f t="shared" si="3"/>
        <v>0</v>
      </c>
      <c r="P18" s="155">
        <f t="shared" si="3"/>
        <v>0</v>
      </c>
      <c r="Q18" s="155">
        <f t="shared" si="3"/>
        <v>0</v>
      </c>
      <c r="R18" s="155">
        <f t="shared" si="3"/>
        <v>0</v>
      </c>
      <c r="S18" s="155">
        <f t="shared" si="3"/>
        <v>0</v>
      </c>
      <c r="T18" s="155">
        <f t="shared" si="3"/>
        <v>0</v>
      </c>
      <c r="U18" s="155">
        <f t="shared" si="3"/>
        <v>0</v>
      </c>
      <c r="V18" s="155">
        <f t="shared" si="3"/>
        <v>0</v>
      </c>
      <c r="W18" s="155">
        <f t="shared" si="3"/>
        <v>0</v>
      </c>
      <c r="X18" s="155">
        <f t="shared" si="3"/>
        <v>0</v>
      </c>
      <c r="Y18" s="155">
        <f t="shared" si="3"/>
        <v>0</v>
      </c>
      <c r="Z18" s="155">
        <f t="shared" si="3"/>
        <v>0</v>
      </c>
      <c r="AA18" s="155">
        <f t="shared" si="3"/>
        <v>0</v>
      </c>
      <c r="AB18" s="155">
        <f t="shared" si="3"/>
        <v>0</v>
      </c>
    </row>
    <row r="19" spans="1:28">
      <c r="A19" s="70"/>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row>
    <row r="20" spans="1:28">
      <c r="A20" s="70" t="s">
        <v>306</v>
      </c>
      <c r="B20" s="401">
        <f>(LN(B11/B14)+($B$7-$B$8+$B$9^2/2)*$B$6)/($B$9*SQRT($B$6))</f>
        <v>-0.57185753170570064</v>
      </c>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row>
    <row r="21" spans="1:28">
      <c r="A21" s="70" t="s">
        <v>307</v>
      </c>
      <c r="B21" s="401">
        <f>B20-$B$9*SQRT($B$6)</f>
        <v>-0.67185753170570062</v>
      </c>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row>
    <row r="22" spans="1:28">
      <c r="A22" s="70" t="s">
        <v>308</v>
      </c>
      <c r="B22" s="4">
        <f>NORMSDIST(B20)</f>
        <v>0.2837092486116406</v>
      </c>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row>
    <row r="23" spans="1:28">
      <c r="A23" s="70" t="s">
        <v>309</v>
      </c>
      <c r="B23" s="4">
        <f>NORMSDIST(B21)</f>
        <v>0.25083719936790061</v>
      </c>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row>
    <row r="24" spans="1:28">
      <c r="A24" s="70"/>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row>
    <row r="25" spans="1:28">
      <c r="A25" s="70"/>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row>
    <row r="26" spans="1:28">
      <c r="A26" s="70" t="s">
        <v>458</v>
      </c>
      <c r="B26" s="155">
        <f>((1/B14*EXP(-($B$8*$B$6))*B22)-1/B11*EXP(-$B$7*$B$6)*B23)*B12</f>
        <v>1.3798695275127448</v>
      </c>
      <c r="C26" s="155"/>
      <c r="D26" s="155"/>
      <c r="E26" s="402">
        <f>1/1.18-1/1.12</f>
        <v>-4.5399515738498653E-2</v>
      </c>
      <c r="F26" s="155"/>
      <c r="G26" s="155"/>
      <c r="H26" s="155"/>
      <c r="I26" s="155"/>
      <c r="J26" s="155"/>
      <c r="K26" s="155"/>
      <c r="L26" s="155"/>
      <c r="M26" s="155"/>
      <c r="N26" s="155"/>
      <c r="O26" s="155"/>
      <c r="P26" s="155"/>
      <c r="Q26" s="155"/>
      <c r="R26" s="155"/>
      <c r="S26" s="155"/>
      <c r="T26" s="155"/>
      <c r="U26" s="155"/>
      <c r="V26" s="155"/>
      <c r="W26" s="155"/>
      <c r="X26" s="155"/>
      <c r="Y26" s="155"/>
      <c r="Z26" s="155"/>
      <c r="AA26" s="155"/>
      <c r="AB26" s="155"/>
    </row>
    <row r="27" spans="1:28">
      <c r="A27" s="70"/>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row>
    <row r="28" spans="1:28">
      <c r="A28" s="70" t="s">
        <v>459</v>
      </c>
      <c r="B28" s="4">
        <f>NORMSDIST(-B20)</f>
        <v>0.7162907513883594</v>
      </c>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row>
    <row r="29" spans="1:28">
      <c r="A29" s="70" t="s">
        <v>460</v>
      </c>
      <c r="B29" s="4">
        <f>NORMSDIST(-B21)</f>
        <v>0.74916280063209939</v>
      </c>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row>
    <row r="30" spans="1:28">
      <c r="A30" s="70" t="s">
        <v>461</v>
      </c>
      <c r="B30" s="155">
        <f>(1/B11*EXP(-B7*B6)*B29-1/B14*EXP(-B8*B6)*B28)*B12</f>
        <v>6.656461304725358</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row>
  </sheetData>
  <phoneticPr fontId="0" type="noConversion"/>
  <pageMargins left="0.78740157499999996" right="0.78740157499999996" top="0.984251969" bottom="0.984251969" header="0.4921259845" footer="0.4921259845"/>
  <pageSetup paperSize="9" orientation="portrait" horizontalDpi="300" verticalDpi="3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B2" sqref="B2"/>
    </sheetView>
  </sheetViews>
  <sheetFormatPr baseColWidth="10" defaultRowHeight="12.75"/>
  <cols>
    <col min="1" max="1" width="22.140625" style="11" customWidth="1"/>
    <col min="2" max="2" width="15" style="11" customWidth="1"/>
    <col min="3" max="3" width="14.28515625" style="11" customWidth="1"/>
    <col min="4" max="4" width="13.28515625" style="11" customWidth="1"/>
    <col min="5" max="5" width="13.85546875" style="11" customWidth="1"/>
    <col min="6" max="6" width="7.140625" style="11" customWidth="1"/>
    <col min="7" max="7" width="13.5703125" style="11" customWidth="1"/>
    <col min="8" max="16384" width="11.42578125" style="11"/>
  </cols>
  <sheetData>
    <row r="1" spans="1:6">
      <c r="A1" s="173" t="s">
        <v>145</v>
      </c>
      <c r="B1" s="10"/>
      <c r="C1" s="10"/>
      <c r="D1" s="10"/>
      <c r="E1" s="10"/>
      <c r="F1" s="10"/>
    </row>
    <row r="2" spans="1:6">
      <c r="A2" s="10" t="s">
        <v>69</v>
      </c>
      <c r="B2" s="174">
        <v>38819</v>
      </c>
      <c r="C2" s="10"/>
      <c r="D2" s="10"/>
      <c r="E2" s="9" t="s">
        <v>549</v>
      </c>
      <c r="F2" s="10"/>
    </row>
    <row r="3" spans="1:6">
      <c r="A3" s="10"/>
      <c r="B3" s="10"/>
      <c r="C3" s="175"/>
      <c r="D3" s="175" t="s">
        <v>146</v>
      </c>
      <c r="E3" s="176">
        <v>3.5000000000000003E-2</v>
      </c>
      <c r="F3" s="10"/>
    </row>
    <row r="4" spans="1:6">
      <c r="A4" s="10" t="s">
        <v>83</v>
      </c>
      <c r="B4" s="174">
        <v>39033</v>
      </c>
      <c r="C4" s="10"/>
      <c r="D4" s="175" t="s">
        <v>147</v>
      </c>
      <c r="E4" s="176">
        <v>3.5999999999999997E-2</v>
      </c>
      <c r="F4" s="10"/>
    </row>
    <row r="5" spans="1:6">
      <c r="A5" s="10" t="s">
        <v>148</v>
      </c>
      <c r="B5" s="174">
        <v>39125</v>
      </c>
      <c r="C5" s="10"/>
      <c r="D5" s="10"/>
      <c r="E5" s="10"/>
      <c r="F5" s="10"/>
    </row>
    <row r="6" spans="1:6">
      <c r="A6" s="10"/>
      <c r="B6" s="10"/>
      <c r="C6" s="10"/>
      <c r="D6" s="9" t="s">
        <v>405</v>
      </c>
      <c r="E6" s="180">
        <f>B7*(1/(1+E3*B14/B10)-((1+B8*B13/B10)/(1+E4*(B13+B14)/B10)))</f>
        <v>6310.6390664902092</v>
      </c>
      <c r="F6" s="10"/>
    </row>
    <row r="7" spans="1:6">
      <c r="A7" s="10" t="s">
        <v>17</v>
      </c>
      <c r="B7" s="177">
        <v>10000000</v>
      </c>
      <c r="C7" s="10"/>
      <c r="D7" s="10"/>
      <c r="E7" s="358"/>
      <c r="F7" s="10"/>
    </row>
    <row r="8" spans="1:6">
      <c r="A8" s="9" t="s">
        <v>149</v>
      </c>
      <c r="B8" s="178">
        <v>3.5000000000000003E-2</v>
      </c>
      <c r="C8" s="10"/>
      <c r="D8" s="175" t="s">
        <v>151</v>
      </c>
      <c r="E8" s="226">
        <f>((B13+B14)*E4-B14*E3)/B13/(1+B14/B10*E3)</f>
        <v>3.7544943547709653E-2</v>
      </c>
      <c r="F8" s="10"/>
    </row>
    <row r="9" spans="1:6">
      <c r="A9" s="9" t="s">
        <v>406</v>
      </c>
      <c r="B9" s="178">
        <v>0.04</v>
      </c>
      <c r="C9" s="10"/>
      <c r="D9" s="10"/>
      <c r="E9" s="10"/>
      <c r="F9" s="10"/>
    </row>
    <row r="10" spans="1:6">
      <c r="A10" s="70" t="s">
        <v>150</v>
      </c>
      <c r="B10" s="179">
        <v>360</v>
      </c>
      <c r="C10" s="10"/>
      <c r="D10" s="10"/>
      <c r="E10" s="10"/>
      <c r="F10" s="10"/>
    </row>
    <row r="11" spans="1:6">
      <c r="A11" s="70"/>
      <c r="B11" s="10"/>
      <c r="C11" s="10"/>
      <c r="D11" s="10"/>
      <c r="E11" s="10"/>
      <c r="F11" s="10"/>
    </row>
    <row r="12" spans="1:6">
      <c r="A12" s="173" t="s">
        <v>102</v>
      </c>
      <c r="B12" s="10"/>
      <c r="C12" s="10"/>
      <c r="D12" s="10"/>
      <c r="E12" s="10"/>
      <c r="F12" s="10"/>
    </row>
    <row r="13" spans="1:6">
      <c r="A13" s="175" t="s">
        <v>152</v>
      </c>
      <c r="B13" s="10">
        <f>B5-B4</f>
        <v>92</v>
      </c>
      <c r="C13" s="10"/>
      <c r="D13" s="10"/>
      <c r="E13" s="10"/>
      <c r="F13" s="10"/>
    </row>
    <row r="14" spans="1:6">
      <c r="A14" s="175" t="s">
        <v>153</v>
      </c>
      <c r="B14" s="10">
        <f>B4-B2</f>
        <v>214</v>
      </c>
      <c r="C14" s="10"/>
      <c r="D14" s="10"/>
      <c r="E14" s="10"/>
      <c r="F14" s="10"/>
    </row>
    <row r="15" spans="1:6">
      <c r="A15" s="9" t="s">
        <v>154</v>
      </c>
      <c r="B15" s="180">
        <v>0</v>
      </c>
      <c r="C15" s="10"/>
      <c r="D15" s="10"/>
      <c r="E15" s="10"/>
      <c r="F15" s="10"/>
    </row>
    <row r="16" spans="1:6">
      <c r="A16" s="181" t="s">
        <v>155</v>
      </c>
      <c r="B16" s="182">
        <f>B7*(B9-B8)*B13/B10/(1+B9*B13/B10)</f>
        <v>12648.482182138139</v>
      </c>
      <c r="C16" s="10"/>
      <c r="D16" s="10"/>
      <c r="E16" s="10"/>
      <c r="F16" s="10"/>
    </row>
    <row r="17" spans="1:6">
      <c r="A17" s="183"/>
      <c r="B17" s="184"/>
      <c r="C17" s="10"/>
      <c r="D17" s="10"/>
      <c r="E17" s="10"/>
      <c r="F17" s="10"/>
    </row>
    <row r="18" spans="1:6">
      <c r="A18" s="10"/>
      <c r="B18" s="10"/>
      <c r="C18" s="10"/>
      <c r="D18" s="10"/>
      <c r="E18" s="10"/>
      <c r="F18" s="10"/>
    </row>
    <row r="19" spans="1:6">
      <c r="A19" s="10"/>
      <c r="B19" s="185">
        <f>B4</f>
        <v>39033</v>
      </c>
      <c r="C19" s="185">
        <f>B5</f>
        <v>39125</v>
      </c>
      <c r="D19" s="10"/>
      <c r="E19" s="10"/>
      <c r="F19" s="10"/>
    </row>
    <row r="20" spans="1:6">
      <c r="A20" s="9" t="s">
        <v>156</v>
      </c>
      <c r="B20" s="180">
        <f>B7</f>
        <v>10000000</v>
      </c>
      <c r="C20" s="180">
        <f>-B20*(1+B13/360*B8)</f>
        <v>-10089444.444444444</v>
      </c>
      <c r="D20" s="10"/>
      <c r="E20" s="10"/>
      <c r="F20" s="10"/>
    </row>
    <row r="21" spans="1:6">
      <c r="A21" s="10"/>
      <c r="B21" s="10"/>
      <c r="C21" s="10"/>
      <c r="D21" s="10"/>
      <c r="E21" s="10"/>
      <c r="F21" s="10"/>
    </row>
    <row r="22" spans="1:6">
      <c r="A22" s="70" t="s">
        <v>145</v>
      </c>
      <c r="B22" s="180">
        <f>B16</f>
        <v>12648.482182138139</v>
      </c>
      <c r="C22" s="10">
        <v>0</v>
      </c>
      <c r="D22" s="10"/>
      <c r="E22" s="10"/>
      <c r="F22" s="10"/>
    </row>
    <row r="23" spans="1:6">
      <c r="A23" s="9" t="s">
        <v>397</v>
      </c>
      <c r="B23" s="186">
        <f>B7-B22</f>
        <v>9987351.5178178623</v>
      </c>
      <c r="C23" s="186">
        <f>-B23*(1+B9/360*B13)</f>
        <v>-10089444.444444444</v>
      </c>
      <c r="D23" s="10"/>
      <c r="E23" s="10"/>
      <c r="F23" s="10"/>
    </row>
    <row r="24" spans="1:6">
      <c r="A24" s="9" t="s">
        <v>157</v>
      </c>
      <c r="B24" s="180">
        <f>B22+B23</f>
        <v>10000000</v>
      </c>
      <c r="C24" s="180">
        <f>C22+C23</f>
        <v>-10089444.444444444</v>
      </c>
      <c r="D24" s="10"/>
      <c r="E24" s="10"/>
      <c r="F24" s="10"/>
    </row>
  </sheetData>
  <phoneticPr fontId="15" type="noConversion"/>
  <printOptions gridLines="1" gridLinesSet="0"/>
  <pageMargins left="0.78740157499999996" right="0.78740157499999996" top="0.984251969" bottom="0.984251969" header="0.51181102300000003" footer="0.51181102300000003"/>
  <pageSetup paperSize="9" orientation="portrait" horizontalDpi="4294967292" verticalDpi="300" r:id="rId1"/>
  <headerFooter alignWithMargins="0">
    <oddHeader>&amp;F</oddHeader>
    <oddFooter>Seite &amp;P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B2" sqref="B2"/>
    </sheetView>
  </sheetViews>
  <sheetFormatPr baseColWidth="10" defaultRowHeight="12.75"/>
  <cols>
    <col min="1" max="1" width="22.140625" style="11" customWidth="1"/>
    <col min="2" max="2" width="15" style="11" customWidth="1"/>
    <col min="3" max="3" width="14.28515625" style="11" customWidth="1"/>
    <col min="4" max="4" width="13.28515625" style="11" customWidth="1"/>
    <col min="5" max="5" width="13.85546875" style="11" customWidth="1"/>
    <col min="6" max="6" width="7.140625" style="11" customWidth="1"/>
    <col min="7" max="7" width="13.5703125" style="11" customWidth="1"/>
    <col min="8" max="16384" width="11.42578125" style="11"/>
  </cols>
  <sheetData>
    <row r="1" spans="1:6">
      <c r="A1" s="173" t="s">
        <v>463</v>
      </c>
      <c r="B1" s="10"/>
      <c r="C1" s="10"/>
      <c r="D1" s="10"/>
      <c r="E1" s="10"/>
      <c r="F1" s="10"/>
    </row>
    <row r="2" spans="1:6">
      <c r="A2" s="10" t="s">
        <v>69</v>
      </c>
      <c r="B2" s="174">
        <v>35197</v>
      </c>
      <c r="C2" s="10"/>
      <c r="D2" s="10"/>
      <c r="E2" s="9" t="s">
        <v>396</v>
      </c>
      <c r="F2" s="10"/>
    </row>
    <row r="3" spans="1:6">
      <c r="A3" s="10"/>
      <c r="B3" s="10"/>
      <c r="C3" s="175"/>
      <c r="D3" s="175" t="s">
        <v>146</v>
      </c>
      <c r="E3" s="176">
        <v>3.4000000000000002E-2</v>
      </c>
      <c r="F3" s="10"/>
    </row>
    <row r="4" spans="1:6">
      <c r="A4" s="10" t="s">
        <v>83</v>
      </c>
      <c r="B4" s="174">
        <v>35381</v>
      </c>
      <c r="C4" s="10"/>
      <c r="D4" s="175" t="s">
        <v>147</v>
      </c>
      <c r="E4" s="176">
        <v>3.5499999999999997E-2</v>
      </c>
      <c r="F4" s="10"/>
    </row>
    <row r="5" spans="1:6">
      <c r="A5" s="10" t="s">
        <v>148</v>
      </c>
      <c r="B5" s="174">
        <v>35473</v>
      </c>
      <c r="C5" s="10"/>
      <c r="D5" s="10"/>
      <c r="E5" s="10"/>
      <c r="F5" s="10"/>
    </row>
    <row r="6" spans="1:6">
      <c r="A6" s="10"/>
      <c r="B6" s="10"/>
      <c r="C6" s="10"/>
      <c r="D6" s="9" t="s">
        <v>405</v>
      </c>
      <c r="E6" s="362">
        <f>B7*(1/(1+E3*B14/B10)-((1+B8*B13/B10)/(1+E4*(B13+B14)/B10)))</f>
        <v>752.28311653297021</v>
      </c>
      <c r="F6" s="10"/>
    </row>
    <row r="7" spans="1:6">
      <c r="A7" s="10" t="s">
        <v>17</v>
      </c>
      <c r="B7" s="177">
        <v>10000000</v>
      </c>
      <c r="C7" s="10"/>
      <c r="D7" s="10"/>
      <c r="E7" s="358"/>
      <c r="F7" s="10"/>
    </row>
    <row r="8" spans="1:6">
      <c r="A8" s="9" t="s">
        <v>149</v>
      </c>
      <c r="B8" s="178">
        <v>3.7539999999999997E-2</v>
      </c>
      <c r="C8" s="10"/>
      <c r="D8" s="175" t="s">
        <v>151</v>
      </c>
      <c r="E8" s="360">
        <f>((B13+B14)*E4-B14*E3)/B13/(1+B14/B10*E3)</f>
        <v>3.7842383469485805E-2</v>
      </c>
      <c r="F8" s="10"/>
    </row>
    <row r="9" spans="1:6">
      <c r="A9" s="9" t="s">
        <v>406</v>
      </c>
      <c r="B9" s="178">
        <v>0.04</v>
      </c>
      <c r="C9" s="10"/>
      <c r="D9" s="10"/>
      <c r="E9" s="10"/>
      <c r="F9" s="10"/>
    </row>
    <row r="10" spans="1:6">
      <c r="A10" s="70" t="s">
        <v>150</v>
      </c>
      <c r="B10" s="179">
        <v>360</v>
      </c>
      <c r="C10" s="10"/>
      <c r="D10" s="10"/>
      <c r="E10" s="10"/>
      <c r="F10" s="10"/>
    </row>
    <row r="11" spans="1:6">
      <c r="A11" s="70"/>
      <c r="B11" s="10"/>
      <c r="C11" s="10"/>
      <c r="D11" s="10"/>
      <c r="E11" s="10"/>
      <c r="F11" s="10"/>
    </row>
    <row r="12" spans="1:6">
      <c r="A12" s="173" t="s">
        <v>102</v>
      </c>
      <c r="B12" s="10"/>
      <c r="C12" s="10"/>
      <c r="D12" s="10"/>
      <c r="E12" s="10"/>
      <c r="F12" s="10"/>
    </row>
    <row r="13" spans="1:6">
      <c r="A13" s="175" t="s">
        <v>152</v>
      </c>
      <c r="B13" s="10">
        <f>B5-B4</f>
        <v>92</v>
      </c>
      <c r="C13" s="10"/>
      <c r="D13" s="10"/>
      <c r="E13" s="10"/>
      <c r="F13" s="10"/>
    </row>
    <row r="14" spans="1:6">
      <c r="A14" s="175" t="s">
        <v>153</v>
      </c>
      <c r="B14" s="10">
        <f>B4-B2</f>
        <v>184</v>
      </c>
      <c r="C14" s="10"/>
      <c r="D14" s="10"/>
      <c r="E14" s="10"/>
      <c r="F14" s="10"/>
    </row>
    <row r="15" spans="1:6">
      <c r="A15" s="9"/>
      <c r="B15" s="180"/>
      <c r="C15" s="10"/>
      <c r="D15" s="10"/>
      <c r="E15" s="10"/>
      <c r="F15" s="10"/>
    </row>
    <row r="16" spans="1:6">
      <c r="A16" s="181"/>
      <c r="B16" s="361"/>
      <c r="C16" s="10"/>
      <c r="D16" s="10"/>
      <c r="E16" s="10"/>
      <c r="F16" s="10"/>
    </row>
    <row r="17" spans="1:6">
      <c r="A17" s="183"/>
      <c r="B17" s="184"/>
      <c r="C17" s="10"/>
      <c r="D17" s="10"/>
      <c r="E17" s="10"/>
      <c r="F17" s="10"/>
    </row>
  </sheetData>
  <phoneticPr fontId="15" type="noConversion"/>
  <printOptions gridLines="1" gridLinesSet="0"/>
  <pageMargins left="0.78740157499999996" right="0.78740157499999996" top="0.984251969" bottom="0.984251969" header="0.51181102300000003" footer="0.51181102300000003"/>
  <pageSetup paperSize="9" orientation="portrait" horizontalDpi="4294967292" verticalDpi="300" r:id="rId1"/>
  <headerFooter alignWithMargins="0">
    <oddHeader>&amp;F</oddHeader>
    <oddFooter>Seite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B2" sqref="B2"/>
    </sheetView>
  </sheetViews>
  <sheetFormatPr baseColWidth="10" defaultRowHeight="12.75"/>
  <cols>
    <col min="1" max="1" width="17.85546875" customWidth="1"/>
  </cols>
  <sheetData>
    <row r="1" spans="1:6">
      <c r="A1" s="71" t="s">
        <v>158</v>
      </c>
      <c r="B1" s="70"/>
      <c r="C1" s="70"/>
      <c r="D1" s="70"/>
      <c r="E1" s="70"/>
      <c r="F1" s="70"/>
    </row>
    <row r="2" spans="1:6">
      <c r="A2" s="70" t="s">
        <v>159</v>
      </c>
      <c r="B2" s="6">
        <v>0.03</v>
      </c>
      <c r="C2" s="70"/>
      <c r="D2" s="70"/>
      <c r="E2" s="70"/>
      <c r="F2" s="70"/>
    </row>
    <row r="3" spans="1:6">
      <c r="A3" s="70" t="s">
        <v>160</v>
      </c>
      <c r="B3" s="8">
        <v>2.8E-3</v>
      </c>
      <c r="C3" s="70"/>
      <c r="D3" s="70"/>
      <c r="E3" s="70"/>
      <c r="F3" s="70"/>
    </row>
    <row r="4" spans="1:6">
      <c r="A4" s="70" t="s">
        <v>161</v>
      </c>
      <c r="B4" s="8">
        <v>5.0000000000000001E-3</v>
      </c>
      <c r="C4" s="70" t="s">
        <v>162</v>
      </c>
      <c r="D4" s="70"/>
      <c r="E4" s="70"/>
      <c r="F4" s="70"/>
    </row>
    <row r="5" spans="1:6">
      <c r="A5" s="70"/>
      <c r="B5" s="70"/>
      <c r="C5" s="70"/>
      <c r="D5" s="70"/>
      <c r="E5" s="70"/>
      <c r="F5" s="70"/>
    </row>
    <row r="6" spans="1:6">
      <c r="A6" s="70"/>
      <c r="B6" s="70"/>
      <c r="C6" s="70"/>
      <c r="D6" s="70"/>
      <c r="E6" s="70"/>
      <c r="F6" s="70"/>
    </row>
    <row r="7" spans="1:6">
      <c r="A7" s="187" t="s">
        <v>163</v>
      </c>
      <c r="B7" s="187"/>
      <c r="C7" s="187"/>
      <c r="D7" s="187"/>
      <c r="E7" s="187"/>
      <c r="F7" s="187"/>
    </row>
    <row r="8" spans="1:6">
      <c r="A8" s="188" t="s">
        <v>164</v>
      </c>
      <c r="B8" s="189">
        <v>0.01</v>
      </c>
      <c r="C8" s="189">
        <v>0.02</v>
      </c>
      <c r="D8" s="189">
        <v>0.03</v>
      </c>
      <c r="E8" s="189">
        <v>0.04</v>
      </c>
      <c r="F8" s="189">
        <v>0.05</v>
      </c>
    </row>
    <row r="9" spans="1:6">
      <c r="A9" s="187" t="s">
        <v>165</v>
      </c>
      <c r="B9" s="190" t="str">
        <f>IF(B8&lt;=$B$2,"nein","ja")</f>
        <v>nein</v>
      </c>
      <c r="C9" s="156" t="str">
        <f>IF(C8&lt;=$B$2,"nein","ja")</f>
        <v>nein</v>
      </c>
      <c r="D9" s="190" t="str">
        <f>IF(D8&lt;=$B$2,"nein","ja")</f>
        <v>nein</v>
      </c>
      <c r="E9" s="156" t="str">
        <f>IF(E8&lt;=$B$2,"nein","ja")</f>
        <v>ja</v>
      </c>
      <c r="F9" s="190" t="str">
        <f>IF(F8&lt;=$B$2,"nein","ja")</f>
        <v>ja</v>
      </c>
    </row>
    <row r="10" spans="1:6">
      <c r="A10" s="188" t="s">
        <v>166</v>
      </c>
      <c r="B10" s="188"/>
      <c r="C10" s="70"/>
      <c r="D10" s="188"/>
      <c r="E10" s="70"/>
      <c r="F10" s="188"/>
    </row>
    <row r="11" spans="1:6">
      <c r="A11" s="188" t="s">
        <v>167</v>
      </c>
      <c r="B11" s="144">
        <f>B8+$B$4</f>
        <v>1.4999999999999999E-2</v>
      </c>
      <c r="C11" s="144">
        <f>C8+$B$4</f>
        <v>2.5000000000000001E-2</v>
      </c>
      <c r="D11" s="144">
        <f>D8+$B$4</f>
        <v>3.4999999999999996E-2</v>
      </c>
      <c r="E11" s="144">
        <f>E8+$B$4</f>
        <v>4.4999999999999998E-2</v>
      </c>
      <c r="F11" s="144">
        <f>F8+$B$4</f>
        <v>5.5E-2</v>
      </c>
    </row>
    <row r="12" spans="1:6">
      <c r="A12" s="140" t="s">
        <v>160</v>
      </c>
      <c r="B12" s="144">
        <f>B3</f>
        <v>2.8E-3</v>
      </c>
      <c r="C12" s="144">
        <f>B12</f>
        <v>2.8E-3</v>
      </c>
      <c r="D12" s="144">
        <f>C12</f>
        <v>2.8E-3</v>
      </c>
      <c r="E12" s="144">
        <f>D12</f>
        <v>2.8E-3</v>
      </c>
      <c r="F12" s="144">
        <f>E12</f>
        <v>2.8E-3</v>
      </c>
    </row>
    <row r="13" spans="1:6">
      <c r="A13" s="187"/>
      <c r="B13" s="187"/>
      <c r="C13" s="187"/>
      <c r="D13" s="187"/>
      <c r="E13" s="187"/>
      <c r="F13" s="187"/>
    </row>
    <row r="14" spans="1:6">
      <c r="A14" s="188" t="s">
        <v>168</v>
      </c>
      <c r="B14" s="191">
        <f>IF(B9="nein",B11+$B$3,$B$2+$B$4+$B$3)</f>
        <v>1.78E-2</v>
      </c>
      <c r="C14" s="191">
        <f>IF(C9="nein",C11+$B$3,$B$2+$B$4+$B$3)</f>
        <v>2.7800000000000002E-2</v>
      </c>
      <c r="D14" s="191">
        <f>IF(D9="nein",D11+$B$3,$B$2+$B$4+$B$3)</f>
        <v>3.7799999999999993E-2</v>
      </c>
      <c r="E14" s="191">
        <f>IF(E9="nein",E11+$B$3,$B$2+$B$4+$B$3)</f>
        <v>3.7799999999999993E-2</v>
      </c>
      <c r="F14" s="191">
        <f>IF(F9="nein",F11+$B$3,$B$2+$B$4+$B$3)</f>
        <v>3.7799999999999993E-2</v>
      </c>
    </row>
    <row r="15" spans="1:6">
      <c r="A15" s="70"/>
      <c r="B15" s="70"/>
      <c r="C15" s="70"/>
      <c r="D15" s="70"/>
      <c r="E15" s="70"/>
      <c r="F15" s="70"/>
    </row>
  </sheetData>
  <phoneticPr fontId="0" type="noConversion"/>
  <pageMargins left="0.78740157499999996" right="0.78740157499999996" top="0.984251969" bottom="0.984251969" header="0.4921259845" footer="0.4921259845"/>
  <headerFooter alignWithMargins="0">
    <oddHeader>&amp;A</oddHeader>
    <oddFooter>Seite &amp;P</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1"/>
  <dimension ref="A1:K43"/>
  <sheetViews>
    <sheetView workbookViewId="0">
      <selection activeCell="C2" sqref="C2"/>
    </sheetView>
  </sheetViews>
  <sheetFormatPr baseColWidth="10" defaultRowHeight="12.75"/>
  <cols>
    <col min="1" max="1" width="4.85546875" customWidth="1"/>
    <col min="2" max="2" width="7.5703125" customWidth="1"/>
    <col min="3" max="3" width="15.85546875" customWidth="1"/>
    <col min="4" max="4" width="8.42578125" customWidth="1"/>
    <col min="5" max="5" width="9.140625" customWidth="1"/>
    <col min="6" max="6" width="9.42578125" customWidth="1"/>
    <col min="7" max="7" width="9" customWidth="1"/>
    <col min="8" max="8" width="8.5703125" customWidth="1"/>
    <col min="9" max="9" width="9.85546875" customWidth="1"/>
    <col min="10" max="10" width="9" customWidth="1"/>
  </cols>
  <sheetData>
    <row r="1" spans="1:11">
      <c r="A1" s="71" t="s">
        <v>158</v>
      </c>
      <c r="B1" s="70"/>
      <c r="C1" s="70"/>
      <c r="D1" s="84"/>
      <c r="E1" s="84" t="s">
        <v>530</v>
      </c>
      <c r="F1" s="70"/>
      <c r="G1" s="70"/>
      <c r="H1" s="70"/>
      <c r="I1" s="70"/>
      <c r="J1" s="70"/>
      <c r="K1" s="70"/>
    </row>
    <row r="2" spans="1:11">
      <c r="A2" s="288" t="s">
        <v>298</v>
      </c>
      <c r="B2" s="269"/>
      <c r="C2" s="289">
        <v>37944</v>
      </c>
      <c r="D2" s="84"/>
      <c r="E2" s="84" t="s">
        <v>529</v>
      </c>
      <c r="F2" s="70"/>
      <c r="G2" s="70"/>
      <c r="H2" s="70"/>
      <c r="I2" s="70"/>
      <c r="J2" s="70"/>
      <c r="K2" s="70"/>
    </row>
    <row r="3" spans="1:11">
      <c r="A3" s="288" t="s">
        <v>17</v>
      </c>
      <c r="B3" s="269"/>
      <c r="C3" s="141">
        <v>10000000</v>
      </c>
      <c r="D3" s="84"/>
      <c r="E3" s="70"/>
      <c r="F3" s="70"/>
      <c r="G3" s="70"/>
      <c r="H3" s="70"/>
      <c r="I3" s="70"/>
      <c r="J3" s="70"/>
      <c r="K3" s="70"/>
    </row>
    <row r="4" spans="1:11">
      <c r="A4" s="268" t="s">
        <v>299</v>
      </c>
      <c r="B4" s="269"/>
      <c r="C4" s="290">
        <v>0.04</v>
      </c>
      <c r="D4" s="70"/>
      <c r="E4" s="70"/>
      <c r="F4" s="70"/>
      <c r="G4" s="70"/>
      <c r="H4" s="70"/>
      <c r="I4" s="70"/>
      <c r="J4" s="70"/>
      <c r="K4" s="70"/>
    </row>
    <row r="5" spans="1:11">
      <c r="A5" s="268" t="s">
        <v>286</v>
      </c>
      <c r="B5" s="269"/>
      <c r="C5" s="284">
        <v>2.8E-3</v>
      </c>
      <c r="D5" s="70"/>
      <c r="E5" s="70"/>
      <c r="F5" s="70"/>
      <c r="G5" s="70"/>
      <c r="H5" s="70"/>
      <c r="I5" s="70"/>
      <c r="J5" s="70"/>
      <c r="K5" s="70"/>
    </row>
    <row r="6" spans="1:11">
      <c r="A6" s="268" t="s">
        <v>300</v>
      </c>
      <c r="B6" s="269"/>
      <c r="C6" s="284" t="s">
        <v>301</v>
      </c>
      <c r="D6" s="70" t="s">
        <v>302</v>
      </c>
      <c r="E6" s="70"/>
      <c r="F6" s="70"/>
      <c r="G6" s="70"/>
      <c r="H6" s="70"/>
      <c r="I6" s="70"/>
      <c r="J6" s="70"/>
      <c r="K6" s="70"/>
    </row>
    <row r="7" spans="1:11">
      <c r="A7" s="268" t="s">
        <v>303</v>
      </c>
      <c r="B7" s="269"/>
      <c r="C7" s="250">
        <v>2</v>
      </c>
      <c r="D7" s="70"/>
      <c r="E7" s="70"/>
      <c r="F7" s="70"/>
      <c r="G7" s="70"/>
      <c r="H7" s="70"/>
      <c r="I7" s="70"/>
      <c r="J7" s="70"/>
      <c r="K7" s="70"/>
    </row>
    <row r="8" spans="1:11">
      <c r="A8" s="291" t="s">
        <v>13</v>
      </c>
      <c r="B8" s="168"/>
      <c r="C8" s="292">
        <v>4</v>
      </c>
      <c r="D8" s="70" t="s">
        <v>59</v>
      </c>
      <c r="E8" s="70"/>
      <c r="F8" s="70"/>
      <c r="G8" s="70"/>
      <c r="H8" s="70"/>
      <c r="I8" s="70"/>
      <c r="J8" s="70"/>
      <c r="K8" s="70"/>
    </row>
    <row r="9" spans="1:11">
      <c r="A9" s="268" t="s">
        <v>304</v>
      </c>
      <c r="B9" s="269"/>
      <c r="C9" s="284">
        <v>0.2</v>
      </c>
      <c r="D9" s="70" t="s">
        <v>305</v>
      </c>
      <c r="E9" s="70"/>
      <c r="F9" s="70"/>
      <c r="G9" s="70"/>
      <c r="H9" s="70"/>
      <c r="I9" s="70"/>
      <c r="J9" s="230" t="s">
        <v>34</v>
      </c>
      <c r="K9" s="70"/>
    </row>
    <row r="10" spans="1:11">
      <c r="A10" s="70"/>
      <c r="B10" s="70"/>
      <c r="C10" s="70"/>
      <c r="D10" s="70"/>
      <c r="E10" s="70"/>
      <c r="F10" s="70"/>
      <c r="G10" s="70"/>
      <c r="H10" s="70"/>
      <c r="I10" s="70"/>
      <c r="J10" s="303">
        <f>SUM(J15:J43)</f>
        <v>117779.75798454441</v>
      </c>
      <c r="K10" s="70"/>
    </row>
    <row r="11" spans="1:11">
      <c r="A11" s="70"/>
      <c r="B11" s="70"/>
      <c r="C11" s="70"/>
      <c r="D11" s="70"/>
      <c r="E11" s="70"/>
      <c r="F11" s="70"/>
      <c r="G11" s="70"/>
      <c r="H11" s="70"/>
      <c r="I11" s="70"/>
      <c r="J11" s="1"/>
      <c r="K11" s="70"/>
    </row>
    <row r="12" spans="1:11" ht="17.25" customHeight="1">
      <c r="A12" s="294"/>
      <c r="B12" s="294"/>
      <c r="C12" s="294"/>
      <c r="D12" s="517" t="s">
        <v>494</v>
      </c>
      <c r="E12" s="295"/>
      <c r="F12" s="294"/>
      <c r="G12" s="294"/>
      <c r="H12" s="294"/>
      <c r="I12" s="294"/>
      <c r="J12" s="517" t="s">
        <v>310</v>
      </c>
      <c r="K12" s="70"/>
    </row>
    <row r="13" spans="1:11" ht="23.25" customHeight="1">
      <c r="A13" s="296" t="s">
        <v>59</v>
      </c>
      <c r="B13" s="296" t="s">
        <v>28</v>
      </c>
      <c r="C13" s="433" t="s">
        <v>218</v>
      </c>
      <c r="D13" s="519"/>
      <c r="E13" s="302" t="s">
        <v>483</v>
      </c>
      <c r="F13" s="296" t="s">
        <v>484</v>
      </c>
      <c r="G13" s="296" t="s">
        <v>485</v>
      </c>
      <c r="H13" s="296" t="s">
        <v>486</v>
      </c>
      <c r="I13" s="296" t="s">
        <v>487</v>
      </c>
      <c r="J13" s="518"/>
      <c r="K13" s="70"/>
    </row>
    <row r="14" spans="1:11">
      <c r="A14" s="297">
        <v>0</v>
      </c>
      <c r="B14" s="434">
        <f t="shared" ref="B14:B43" si="0">IF(A14=" "," ",EDATE($C$2,A14*12)+IF(WEEKDAY(EDATE($C$2,A14*12))=7,2,IF(WEEKDAY(EDATE($C$2,A14*12))=1,1,0)))</f>
        <v>37944</v>
      </c>
      <c r="C14" s="437">
        <v>1</v>
      </c>
      <c r="D14" s="435">
        <f>IF(OR(A14=" ",A15=" ")," ",(C14/C15-1)*360/(B15-B14))</f>
        <v>2.1980000000000197E-2</v>
      </c>
      <c r="E14" s="299"/>
      <c r="F14" s="297"/>
      <c r="G14" s="297"/>
      <c r="H14" s="297"/>
      <c r="I14" s="297"/>
      <c r="J14" s="301">
        <f>$C$3*(MAX(D14-$C$4,0))*(B15-B14)/360*C15</f>
        <v>0</v>
      </c>
      <c r="K14" s="70"/>
    </row>
    <row r="15" spans="1:11">
      <c r="A15" s="300">
        <f>1/C7</f>
        <v>0.5</v>
      </c>
      <c r="B15" s="434">
        <f t="shared" si="0"/>
        <v>38126</v>
      </c>
      <c r="C15" s="438">
        <v>0.98901001086922002</v>
      </c>
      <c r="D15" s="435">
        <f t="shared" ref="D15:D43" si="1">IF(OR(A15=" ",A16=" ")," ",(C15/C16-1)*360/(B16-B15))</f>
        <v>2.4630326810904692E-2</v>
      </c>
      <c r="E15" s="424">
        <f>IF(OR(A15=" ",A16=" ")," ",(B15-$B$14)/365)</f>
        <v>0.49863013698630138</v>
      </c>
      <c r="F15" s="424">
        <f>IF(OR(A15=" ",A16=" ")," ",(LN(D15/$C$4)+$C$9^2*E15/2)/($C$9*SQRT(E15)))</f>
        <v>-3.3628605315288147</v>
      </c>
      <c r="G15" s="424">
        <f>IF(OR(A15=" ",A16=" ")," ",F15-$C$9*SQRT(E15))</f>
        <v>-3.5040880270084558</v>
      </c>
      <c r="H15" s="424">
        <f>IF(OR(A15=" ",A16=" ")," ",NORMSDIST(F15))</f>
        <v>3.8569662515625824E-4</v>
      </c>
      <c r="I15" s="297">
        <f>IF(OR(A15=" ",A16=" ")," ",NORMSDIST(G15))</f>
        <v>2.290869395719077E-4</v>
      </c>
      <c r="J15" s="301">
        <f>IF(OR(A15=" ",A16=" ")," ",$C$3*(B16-B15)/360*C16*(D15*H15-$C$4*I15))</f>
        <v>1.6791229594796999</v>
      </c>
      <c r="K15" s="70"/>
    </row>
    <row r="16" spans="1:11">
      <c r="A16" s="300">
        <f t="shared" ref="A16:A43" si="2">IF(A15=" "," ",IF(B15&gt;=EDATE($C$2,$C$8*12)," ",$A$15+A15))</f>
        <v>1</v>
      </c>
      <c r="B16" s="434">
        <f t="shared" si="0"/>
        <v>38310</v>
      </c>
      <c r="C16" s="438">
        <v>0.97671431675984799</v>
      </c>
      <c r="D16" s="435">
        <f t="shared" si="1"/>
        <v>2.9767802885978478E-2</v>
      </c>
      <c r="E16" s="424">
        <f>IF(OR(A16=" ",A17=" ")," ",(B16-$B$14)/365)</f>
        <v>1.0027397260273974</v>
      </c>
      <c r="F16" s="424">
        <f>IF(OR(A16=" ",A17=" ")," ",(LN(D16/$C$4)+$C$9^2*E16/2)/($C$9*SQRT(E16)))</f>
        <v>-1.3751040355156716</v>
      </c>
      <c r="G16" s="424">
        <f>IF(OR(A16=" ",A17=" ")," ",F16-$C$9*SQRT(E16))</f>
        <v>-1.5753778207225626</v>
      </c>
      <c r="H16" s="424">
        <f>IF(OR(A16=" ",A17=" ")," ",NORMSDIST(F16))</f>
        <v>8.4549596723796014E-2</v>
      </c>
      <c r="I16" s="297">
        <f>IF(OR(A16=" ",A17=" ")," ",NORMSDIST(G16))</f>
        <v>5.7584630381608999E-2</v>
      </c>
      <c r="J16" s="301">
        <f>IF(OR(A16=" ",A17=" ")," ",$C$3*(B17-B16)/360*C17*(D16*H16-$C$4*I16))</f>
        <v>1032.8322190293743</v>
      </c>
      <c r="K16" s="70"/>
    </row>
    <row r="17" spans="1:11">
      <c r="A17" s="300">
        <f t="shared" si="2"/>
        <v>1.5</v>
      </c>
      <c r="B17" s="434">
        <f t="shared" si="0"/>
        <v>38491</v>
      </c>
      <c r="C17" s="438">
        <v>0.96231179094021302</v>
      </c>
      <c r="D17" s="435">
        <f t="shared" si="1"/>
        <v>3.4119950474912876E-2</v>
      </c>
      <c r="E17" s="424">
        <f>IF(OR(A17=" ",A18=" ")," ",(B17-$B$14)/365)</f>
        <v>1.4986301369863013</v>
      </c>
      <c r="F17" s="424">
        <f>IF(OR(A17=" ",A18=" ")," ",(LN(D17/$C$4)+$C$9^2*E17/2)/($C$9*SQRT(E17)))</f>
        <v>-0.5269813288523707</v>
      </c>
      <c r="G17" s="424">
        <f>IF(OR(A17=" ",A18=" ")," ",F17-$C$9*SQRT(E17))</f>
        <v>-0.77181842873605266</v>
      </c>
      <c r="H17" s="424">
        <f>IF(OR(A17=" ",A18=" ")," ",NORMSDIST(F17))</f>
        <v>0.29910327722459351</v>
      </c>
      <c r="I17" s="297">
        <f>IF(OR(A17=" ",A18=" ")," ",NORMSDIST(G17))</f>
        <v>0.22011098762472955</v>
      </c>
      <c r="J17" s="301">
        <f>IF(OR(A17=" ",A18=" ")," ",$C$3*(B18-B17)/360*C18*(D17*H17-$C$4*I17))</f>
        <v>6844.7786730142316</v>
      </c>
      <c r="K17" s="70"/>
    </row>
    <row r="18" spans="1:11">
      <c r="A18" s="300">
        <f t="shared" si="2"/>
        <v>2</v>
      </c>
      <c r="B18" s="434">
        <f t="shared" si="0"/>
        <v>38677</v>
      </c>
      <c r="C18" s="438">
        <v>0.94564141779671695</v>
      </c>
      <c r="D18" s="435">
        <f t="shared" si="1"/>
        <v>3.6937814401279898E-2</v>
      </c>
      <c r="E18" s="424">
        <f>IF(OR(A18=" ",A19=" ")," ",(B18-$B$14)/365)</f>
        <v>2.0082191780821916</v>
      </c>
      <c r="F18" s="424">
        <f>IF(OR(A18=" ",A19=" ")," ",(LN(D18/$C$4)+$C$9^2*E18/2)/($C$9*SQRT(E18)))</f>
        <v>-0.13929434763451692</v>
      </c>
      <c r="G18" s="424">
        <f>IF(OR(A18=" ",A19=" ")," ",F18-$C$9*SQRT(E18))</f>
        <v>-0.4227176478821989</v>
      </c>
      <c r="H18" s="424">
        <f>IF(OR(A18=" ",A19=" ")," ",NORMSDIST(F18))</f>
        <v>0.4446087781368081</v>
      </c>
      <c r="I18" s="297">
        <f>IF(OR(A18=" ",A19=" ")," ",NORMSDIST(G18))</f>
        <v>0.33625063903932512</v>
      </c>
      <c r="J18" s="301">
        <f>IF(OR(A18=" ",A19=" ")," ",$C$3*(B19-B18)/360*C19*(D18*H18-$C$4*I18))</f>
        <v>13726.067603227624</v>
      </c>
      <c r="K18" s="70"/>
    </row>
    <row r="19" spans="1:11">
      <c r="A19" s="300">
        <f t="shared" si="2"/>
        <v>2.5</v>
      </c>
      <c r="B19" s="434">
        <f t="shared" si="0"/>
        <v>38856</v>
      </c>
      <c r="C19" s="438">
        <v>0.92858671363180301</v>
      </c>
      <c r="D19" s="435">
        <f t="shared" si="1"/>
        <v>4.0674914155705441E-2</v>
      </c>
      <c r="E19" s="424">
        <f t="shared" ref="E19:E25" si="3">IF(OR(A19=" ",A20=" ")," ",(B19-$B$14)/365)</f>
        <v>2.4986301369863013</v>
      </c>
      <c r="F19" s="424">
        <f t="shared" ref="F19:F25" si="4">IF(OR(A19=" ",A20=" ")," ",(LN(D19/$C$4)+$C$9^2*E19/2)/($C$9*SQRT(E19)))</f>
        <v>0.21099657012407036</v>
      </c>
      <c r="G19" s="424">
        <f t="shared" ref="G19:G25" si="5">IF(OR(A19=" ",A20=" ")," ",F19-$C$9*SQRT(E19))</f>
        <v>-0.10514454627721659</v>
      </c>
      <c r="H19" s="424">
        <f t="shared" ref="H19:H25" si="6">IF(OR(A19=" ",A20=" ")," ",NORMSDIST(F19))</f>
        <v>0.58355502612246712</v>
      </c>
      <c r="I19" s="297">
        <f t="shared" ref="I19:I25" si="7">IF(OR(A19=" ",A20=" ")," ",NORMSDIST(G19))</f>
        <v>0.45813055618142123</v>
      </c>
      <c r="J19" s="301">
        <f t="shared" ref="J19:J25" si="8">IF(OR(A19=" ",A20=" ")," ",$C$3*(B20-B19)/360*C20*(D19*H19-$C$4*I19))</f>
        <v>25291.304507032593</v>
      </c>
      <c r="K19" s="70"/>
    </row>
    <row r="20" spans="1:11">
      <c r="A20" s="300">
        <f t="shared" si="2"/>
        <v>3</v>
      </c>
      <c r="B20" s="434">
        <f t="shared" si="0"/>
        <v>39041</v>
      </c>
      <c r="C20" s="438">
        <v>0.90957443724748599</v>
      </c>
      <c r="D20" s="435">
        <f t="shared" si="1"/>
        <v>4.2068828564122647E-2</v>
      </c>
      <c r="E20" s="424">
        <f t="shared" si="3"/>
        <v>3.0054794520547947</v>
      </c>
      <c r="F20" s="424">
        <f t="shared" si="4"/>
        <v>0.31880236309427201</v>
      </c>
      <c r="G20" s="424">
        <f t="shared" si="5"/>
        <v>-2.7924010408223177E-2</v>
      </c>
      <c r="H20" s="424">
        <f t="shared" si="6"/>
        <v>0.62506180688920832</v>
      </c>
      <c r="I20" s="297">
        <f t="shared" si="7"/>
        <v>0.48886137918585837</v>
      </c>
      <c r="J20" s="301">
        <f t="shared" si="8"/>
        <v>30353.038418857472</v>
      </c>
      <c r="K20" s="70"/>
    </row>
    <row r="21" spans="1:11">
      <c r="A21" s="300">
        <f t="shared" si="2"/>
        <v>3.5</v>
      </c>
      <c r="B21" s="434">
        <f t="shared" si="0"/>
        <v>39223</v>
      </c>
      <c r="C21" s="438">
        <v>0.89063235259360896</v>
      </c>
      <c r="D21" s="435">
        <f t="shared" si="1"/>
        <v>4.5130089038597269E-2</v>
      </c>
      <c r="E21" s="424">
        <f t="shared" si="3"/>
        <v>3.504109589041096</v>
      </c>
      <c r="F21" s="424">
        <f t="shared" si="4"/>
        <v>0.50950692654309226</v>
      </c>
      <c r="G21" s="424">
        <f t="shared" si="5"/>
        <v>0.13512158553513576</v>
      </c>
      <c r="H21" s="424">
        <f t="shared" si="6"/>
        <v>0.69480152776347393</v>
      </c>
      <c r="I21" s="297">
        <f t="shared" si="7"/>
        <v>0.55374212805085654</v>
      </c>
      <c r="J21" s="301">
        <f t="shared" si="8"/>
        <v>40530.057440423632</v>
      </c>
      <c r="K21" s="70"/>
    </row>
    <row r="22" spans="1:11">
      <c r="A22" s="300">
        <f t="shared" si="2"/>
        <v>4</v>
      </c>
      <c r="B22" s="434">
        <f t="shared" si="0"/>
        <v>39405</v>
      </c>
      <c r="C22" s="438">
        <v>0.87076517699785505</v>
      </c>
      <c r="D22" s="436" t="str">
        <f t="shared" si="1"/>
        <v xml:space="preserve"> </v>
      </c>
      <c r="E22" s="297" t="str">
        <f t="shared" si="3"/>
        <v xml:space="preserve"> </v>
      </c>
      <c r="F22" s="424" t="str">
        <f t="shared" si="4"/>
        <v xml:space="preserve"> </v>
      </c>
      <c r="G22" s="424" t="str">
        <f t="shared" si="5"/>
        <v xml:space="preserve"> </v>
      </c>
      <c r="H22" s="424" t="str">
        <f t="shared" si="6"/>
        <v xml:space="preserve"> </v>
      </c>
      <c r="I22" s="297" t="str">
        <f t="shared" si="7"/>
        <v xml:space="preserve"> </v>
      </c>
      <c r="J22" s="301" t="str">
        <f t="shared" si="8"/>
        <v xml:space="preserve"> </v>
      </c>
      <c r="K22" s="70"/>
    </row>
    <row r="23" spans="1:11">
      <c r="A23" s="300" t="str">
        <f t="shared" si="2"/>
        <v xml:space="preserve"> </v>
      </c>
      <c r="B23" s="298" t="str">
        <f t="shared" si="0"/>
        <v xml:space="preserve"> </v>
      </c>
      <c r="C23" s="441"/>
      <c r="D23" s="304" t="str">
        <f t="shared" si="1"/>
        <v xml:space="preserve"> </v>
      </c>
      <c r="E23" s="297" t="str">
        <f t="shared" si="3"/>
        <v xml:space="preserve"> </v>
      </c>
      <c r="F23" s="424" t="str">
        <f t="shared" si="4"/>
        <v xml:space="preserve"> </v>
      </c>
      <c r="G23" s="424" t="str">
        <f t="shared" si="5"/>
        <v xml:space="preserve"> </v>
      </c>
      <c r="H23" s="424" t="str">
        <f t="shared" si="6"/>
        <v xml:space="preserve"> </v>
      </c>
      <c r="I23" s="297" t="str">
        <f t="shared" si="7"/>
        <v xml:space="preserve"> </v>
      </c>
      <c r="J23" s="301" t="str">
        <f t="shared" si="8"/>
        <v xml:space="preserve"> </v>
      </c>
      <c r="K23" s="70"/>
    </row>
    <row r="24" spans="1:11">
      <c r="A24" s="300" t="str">
        <f t="shared" si="2"/>
        <v xml:space="preserve"> </v>
      </c>
      <c r="B24" s="298" t="str">
        <f t="shared" si="0"/>
        <v xml:space="preserve"> </v>
      </c>
      <c r="C24" s="442"/>
      <c r="D24" s="304" t="str">
        <f t="shared" si="1"/>
        <v xml:space="preserve"> </v>
      </c>
      <c r="E24" s="297" t="str">
        <f t="shared" si="3"/>
        <v xml:space="preserve"> </v>
      </c>
      <c r="F24" s="424" t="str">
        <f t="shared" si="4"/>
        <v xml:space="preserve"> </v>
      </c>
      <c r="G24" s="424" t="str">
        <f t="shared" si="5"/>
        <v xml:space="preserve"> </v>
      </c>
      <c r="H24" s="424" t="str">
        <f t="shared" si="6"/>
        <v xml:space="preserve"> </v>
      </c>
      <c r="I24" s="297" t="str">
        <f t="shared" si="7"/>
        <v xml:space="preserve"> </v>
      </c>
      <c r="J24" s="301" t="str">
        <f t="shared" si="8"/>
        <v xml:space="preserve"> </v>
      </c>
      <c r="K24" s="70"/>
    </row>
    <row r="25" spans="1:11">
      <c r="A25" s="300" t="str">
        <f t="shared" si="2"/>
        <v xml:space="preserve"> </v>
      </c>
      <c r="B25" s="298" t="str">
        <f t="shared" si="0"/>
        <v xml:space="preserve"> </v>
      </c>
      <c r="C25" s="442"/>
      <c r="D25" s="304" t="str">
        <f t="shared" si="1"/>
        <v xml:space="preserve"> </v>
      </c>
      <c r="E25" s="297" t="str">
        <f t="shared" si="3"/>
        <v xml:space="preserve"> </v>
      </c>
      <c r="F25" s="424" t="str">
        <f t="shared" si="4"/>
        <v xml:space="preserve"> </v>
      </c>
      <c r="G25" s="424" t="str">
        <f t="shared" si="5"/>
        <v xml:space="preserve"> </v>
      </c>
      <c r="H25" s="424" t="str">
        <f t="shared" si="6"/>
        <v xml:space="preserve"> </v>
      </c>
      <c r="I25" s="297" t="str">
        <f t="shared" si="7"/>
        <v xml:space="preserve"> </v>
      </c>
      <c r="J25" s="301" t="str">
        <f t="shared" si="8"/>
        <v xml:space="preserve"> </v>
      </c>
      <c r="K25" s="70"/>
    </row>
    <row r="26" spans="1:11">
      <c r="A26" s="300" t="str">
        <f t="shared" si="2"/>
        <v xml:space="preserve"> </v>
      </c>
      <c r="B26" s="298" t="str">
        <f t="shared" si="0"/>
        <v xml:space="preserve"> </v>
      </c>
      <c r="C26" s="442"/>
      <c r="D26" s="304" t="str">
        <f t="shared" si="1"/>
        <v xml:space="preserve"> </v>
      </c>
      <c r="E26" s="297" t="str">
        <f>IF(OR(A26=" ",A27=" ")," ",(B26-$B$14)/365)</f>
        <v xml:space="preserve"> </v>
      </c>
      <c r="F26" s="424" t="str">
        <f>IF(OR(A26=" ",A27=" ")," ",(LN(D26/$C$4)+$C$9^2*E26/2)/($C$9*SQRT(E26)))</f>
        <v xml:space="preserve"> </v>
      </c>
      <c r="G26" s="424" t="str">
        <f>IF(OR(A26=" ",A27=" ")," ",F26-$C$9*SQRT(E26))</f>
        <v xml:space="preserve"> </v>
      </c>
      <c r="H26" s="424" t="str">
        <f>IF(OR(A26=" ",A27=" ")," ",NORMSDIST(F26))</f>
        <v xml:space="preserve"> </v>
      </c>
      <c r="I26" s="297" t="str">
        <f>IF(OR(A26=" ",A27=" ")," ",NORMSDIST(G26))</f>
        <v xml:space="preserve"> </v>
      </c>
      <c r="J26" s="301" t="str">
        <f>IF(OR(A26=" ",A27=" ")," ",$C$3*(B27-B26)/360*C27*(D26*H26-$C$4*I26))</f>
        <v xml:space="preserve"> </v>
      </c>
      <c r="K26" s="70"/>
    </row>
    <row r="27" spans="1:11">
      <c r="A27" s="293" t="str">
        <f t="shared" si="2"/>
        <v xml:space="preserve"> </v>
      </c>
      <c r="B27" s="106" t="str">
        <f t="shared" si="0"/>
        <v xml:space="preserve"> </v>
      </c>
      <c r="C27" s="442"/>
      <c r="D27" s="304" t="str">
        <f t="shared" si="1"/>
        <v xml:space="preserve"> </v>
      </c>
      <c r="E27" s="297" t="str">
        <f t="shared" ref="E27:E43" si="9">IF(OR(A27=" ",A28=" ")," ",(B27-$B$14)/365)</f>
        <v xml:space="preserve"> </v>
      </c>
      <c r="F27" s="424" t="str">
        <f t="shared" ref="F27:F43" si="10">IF(OR(A27=" ",A28=" ")," ",(LN(D27/$C$4)+$C$9^2*E27/2)/($C$9*SQRT(E27)))</f>
        <v xml:space="preserve"> </v>
      </c>
      <c r="G27" s="424" t="str">
        <f t="shared" ref="G27:G43" si="11">IF(OR(A27=" ",A28=" ")," ",F27-$C$9*SQRT(E27))</f>
        <v xml:space="preserve"> </v>
      </c>
      <c r="H27" s="424" t="str">
        <f t="shared" ref="H27:H43" si="12">IF(OR(A27=" ",A28=" ")," ",NORMSDIST(F27))</f>
        <v xml:space="preserve"> </v>
      </c>
      <c r="I27" s="297" t="str">
        <f t="shared" ref="I27:I43" si="13">IF(OR(A27=" ",A28=" ")," ",NORMSDIST(G27))</f>
        <v xml:space="preserve"> </v>
      </c>
      <c r="J27" s="301" t="str">
        <f t="shared" ref="J27:J43" si="14">IF(OR(A27=" ",A28=" ")," ",$C$3*(B28-B27)/360*C28*(D27*H27-$C$4*I27))</f>
        <v xml:space="preserve"> </v>
      </c>
      <c r="K27" s="70"/>
    </row>
    <row r="28" spans="1:11">
      <c r="A28" s="293" t="str">
        <f t="shared" si="2"/>
        <v xml:space="preserve"> </v>
      </c>
      <c r="B28" s="106" t="str">
        <f t="shared" si="0"/>
        <v xml:space="preserve"> </v>
      </c>
      <c r="C28" s="442"/>
      <c r="D28" s="304" t="str">
        <f t="shared" si="1"/>
        <v xml:space="preserve"> </v>
      </c>
      <c r="E28" s="297" t="str">
        <f t="shared" si="9"/>
        <v xml:space="preserve"> </v>
      </c>
      <c r="F28" s="424" t="str">
        <f t="shared" si="10"/>
        <v xml:space="preserve"> </v>
      </c>
      <c r="G28" s="424" t="str">
        <f t="shared" si="11"/>
        <v xml:space="preserve"> </v>
      </c>
      <c r="H28" s="424" t="str">
        <f t="shared" si="12"/>
        <v xml:space="preserve"> </v>
      </c>
      <c r="I28" s="297" t="str">
        <f t="shared" si="13"/>
        <v xml:space="preserve"> </v>
      </c>
      <c r="J28" s="301" t="str">
        <f t="shared" si="14"/>
        <v xml:space="preserve"> </v>
      </c>
      <c r="K28" s="70"/>
    </row>
    <row r="29" spans="1:11">
      <c r="A29" s="293" t="str">
        <f t="shared" si="2"/>
        <v xml:space="preserve"> </v>
      </c>
      <c r="B29" s="106" t="str">
        <f t="shared" si="0"/>
        <v xml:space="preserve"> </v>
      </c>
      <c r="C29" s="442"/>
      <c r="D29" s="304" t="str">
        <f t="shared" si="1"/>
        <v xml:space="preserve"> </v>
      </c>
      <c r="E29" s="297" t="str">
        <f t="shared" si="9"/>
        <v xml:space="preserve"> </v>
      </c>
      <c r="F29" s="424" t="str">
        <f t="shared" si="10"/>
        <v xml:space="preserve"> </v>
      </c>
      <c r="G29" s="424" t="str">
        <f t="shared" si="11"/>
        <v xml:space="preserve"> </v>
      </c>
      <c r="H29" s="424" t="str">
        <f t="shared" si="12"/>
        <v xml:space="preserve"> </v>
      </c>
      <c r="I29" s="297" t="str">
        <f t="shared" si="13"/>
        <v xml:space="preserve"> </v>
      </c>
      <c r="J29" s="301" t="str">
        <f t="shared" si="14"/>
        <v xml:space="preserve"> </v>
      </c>
      <c r="K29" s="70"/>
    </row>
    <row r="30" spans="1:11">
      <c r="A30" s="293" t="str">
        <f t="shared" si="2"/>
        <v xml:space="preserve"> </v>
      </c>
      <c r="B30" s="106" t="str">
        <f t="shared" si="0"/>
        <v xml:space="preserve"> </v>
      </c>
      <c r="C30" s="442"/>
      <c r="D30" s="304" t="str">
        <f t="shared" si="1"/>
        <v xml:space="preserve"> </v>
      </c>
      <c r="E30" s="297" t="str">
        <f t="shared" si="9"/>
        <v xml:space="preserve"> </v>
      </c>
      <c r="F30" s="424" t="str">
        <f t="shared" si="10"/>
        <v xml:space="preserve"> </v>
      </c>
      <c r="G30" s="424" t="str">
        <f t="shared" si="11"/>
        <v xml:space="preserve"> </v>
      </c>
      <c r="H30" s="424" t="str">
        <f t="shared" si="12"/>
        <v xml:space="preserve"> </v>
      </c>
      <c r="I30" s="297" t="str">
        <f t="shared" si="13"/>
        <v xml:space="preserve"> </v>
      </c>
      <c r="J30" s="301" t="str">
        <f t="shared" si="14"/>
        <v xml:space="preserve"> </v>
      </c>
      <c r="K30" s="70"/>
    </row>
    <row r="31" spans="1:11">
      <c r="A31" s="293" t="str">
        <f t="shared" si="2"/>
        <v xml:space="preserve"> </v>
      </c>
      <c r="B31" s="106" t="str">
        <f t="shared" si="0"/>
        <v xml:space="preserve"> </v>
      </c>
      <c r="C31" s="442"/>
      <c r="D31" s="304" t="str">
        <f t="shared" si="1"/>
        <v xml:space="preserve"> </v>
      </c>
      <c r="E31" s="297" t="str">
        <f t="shared" si="9"/>
        <v xml:space="preserve"> </v>
      </c>
      <c r="F31" s="424" t="str">
        <f t="shared" si="10"/>
        <v xml:space="preserve"> </v>
      </c>
      <c r="G31" s="424" t="str">
        <f t="shared" si="11"/>
        <v xml:space="preserve"> </v>
      </c>
      <c r="H31" s="424" t="str">
        <f t="shared" si="12"/>
        <v xml:space="preserve"> </v>
      </c>
      <c r="I31" s="297" t="str">
        <f t="shared" si="13"/>
        <v xml:space="preserve"> </v>
      </c>
      <c r="J31" s="301" t="str">
        <f t="shared" si="14"/>
        <v xml:space="preserve"> </v>
      </c>
      <c r="K31" s="70"/>
    </row>
    <row r="32" spans="1:11">
      <c r="A32" s="293" t="str">
        <f t="shared" si="2"/>
        <v xml:space="preserve"> </v>
      </c>
      <c r="B32" s="106" t="str">
        <f t="shared" si="0"/>
        <v xml:space="preserve"> </v>
      </c>
      <c r="C32" s="442"/>
      <c r="D32" s="304" t="str">
        <f t="shared" si="1"/>
        <v xml:space="preserve"> </v>
      </c>
      <c r="E32" s="297" t="str">
        <f t="shared" si="9"/>
        <v xml:space="preserve"> </v>
      </c>
      <c r="F32" s="424" t="str">
        <f t="shared" si="10"/>
        <v xml:space="preserve"> </v>
      </c>
      <c r="G32" s="424" t="str">
        <f t="shared" si="11"/>
        <v xml:space="preserve"> </v>
      </c>
      <c r="H32" s="424" t="str">
        <f t="shared" si="12"/>
        <v xml:space="preserve"> </v>
      </c>
      <c r="I32" s="297" t="str">
        <f t="shared" si="13"/>
        <v xml:space="preserve"> </v>
      </c>
      <c r="J32" s="301" t="str">
        <f t="shared" si="14"/>
        <v xml:space="preserve"> </v>
      </c>
      <c r="K32" s="70"/>
    </row>
    <row r="33" spans="1:11">
      <c r="A33" s="293" t="str">
        <f t="shared" si="2"/>
        <v xml:space="preserve"> </v>
      </c>
      <c r="B33" s="106" t="str">
        <f t="shared" si="0"/>
        <v xml:space="preserve"> </v>
      </c>
      <c r="C33" s="442"/>
      <c r="D33" s="304" t="str">
        <f t="shared" si="1"/>
        <v xml:space="preserve"> </v>
      </c>
      <c r="E33" s="297" t="str">
        <f t="shared" si="9"/>
        <v xml:space="preserve"> </v>
      </c>
      <c r="F33" s="424" t="str">
        <f t="shared" si="10"/>
        <v xml:space="preserve"> </v>
      </c>
      <c r="G33" s="424" t="str">
        <f t="shared" si="11"/>
        <v xml:space="preserve"> </v>
      </c>
      <c r="H33" s="424" t="str">
        <f t="shared" si="12"/>
        <v xml:space="preserve"> </v>
      </c>
      <c r="I33" s="297" t="str">
        <f t="shared" si="13"/>
        <v xml:space="preserve"> </v>
      </c>
      <c r="J33" s="301" t="str">
        <f t="shared" si="14"/>
        <v xml:space="preserve"> </v>
      </c>
      <c r="K33" s="70"/>
    </row>
    <row r="34" spans="1:11">
      <c r="A34" s="293" t="str">
        <f t="shared" si="2"/>
        <v xml:space="preserve"> </v>
      </c>
      <c r="B34" s="106" t="str">
        <f t="shared" si="0"/>
        <v xml:space="preserve"> </v>
      </c>
      <c r="C34" s="442"/>
      <c r="D34" s="304" t="str">
        <f t="shared" si="1"/>
        <v xml:space="preserve"> </v>
      </c>
      <c r="E34" s="297" t="str">
        <f t="shared" si="9"/>
        <v xml:space="preserve"> </v>
      </c>
      <c r="F34" s="424" t="str">
        <f t="shared" si="10"/>
        <v xml:space="preserve"> </v>
      </c>
      <c r="G34" s="424" t="str">
        <f t="shared" si="11"/>
        <v xml:space="preserve"> </v>
      </c>
      <c r="H34" s="424" t="str">
        <f t="shared" si="12"/>
        <v xml:space="preserve"> </v>
      </c>
      <c r="I34" s="297" t="str">
        <f t="shared" si="13"/>
        <v xml:space="preserve"> </v>
      </c>
      <c r="J34" s="301" t="str">
        <f t="shared" si="14"/>
        <v xml:space="preserve"> </v>
      </c>
      <c r="K34" s="70"/>
    </row>
    <row r="35" spans="1:11">
      <c r="A35" s="293" t="str">
        <f t="shared" si="2"/>
        <v xml:space="preserve"> </v>
      </c>
      <c r="B35" s="106" t="str">
        <f t="shared" si="0"/>
        <v xml:space="preserve"> </v>
      </c>
      <c r="C35" s="442"/>
      <c r="D35" s="304" t="str">
        <f t="shared" si="1"/>
        <v xml:space="preserve"> </v>
      </c>
      <c r="E35" s="297" t="str">
        <f t="shared" si="9"/>
        <v xml:space="preserve"> </v>
      </c>
      <c r="F35" s="424" t="str">
        <f t="shared" si="10"/>
        <v xml:space="preserve"> </v>
      </c>
      <c r="G35" s="424" t="str">
        <f t="shared" si="11"/>
        <v xml:space="preserve"> </v>
      </c>
      <c r="H35" s="424" t="str">
        <f t="shared" si="12"/>
        <v xml:space="preserve"> </v>
      </c>
      <c r="I35" s="297" t="str">
        <f t="shared" si="13"/>
        <v xml:space="preserve"> </v>
      </c>
      <c r="J35" s="301" t="str">
        <f t="shared" si="14"/>
        <v xml:space="preserve"> </v>
      </c>
      <c r="K35" s="70"/>
    </row>
    <row r="36" spans="1:11">
      <c r="A36" s="293" t="str">
        <f t="shared" si="2"/>
        <v xml:space="preserve"> </v>
      </c>
      <c r="B36" s="106" t="str">
        <f t="shared" si="0"/>
        <v xml:space="preserve"> </v>
      </c>
      <c r="C36" s="442"/>
      <c r="D36" s="304" t="str">
        <f t="shared" si="1"/>
        <v xml:space="preserve"> </v>
      </c>
      <c r="E36" s="297" t="str">
        <f t="shared" si="9"/>
        <v xml:space="preserve"> </v>
      </c>
      <c r="F36" s="424" t="str">
        <f t="shared" si="10"/>
        <v xml:space="preserve"> </v>
      </c>
      <c r="G36" s="424" t="str">
        <f t="shared" si="11"/>
        <v xml:space="preserve"> </v>
      </c>
      <c r="H36" s="424" t="str">
        <f t="shared" si="12"/>
        <v xml:space="preserve"> </v>
      </c>
      <c r="I36" s="297" t="str">
        <f t="shared" si="13"/>
        <v xml:space="preserve"> </v>
      </c>
      <c r="J36" s="301" t="str">
        <f t="shared" si="14"/>
        <v xml:space="preserve"> </v>
      </c>
      <c r="K36" s="70"/>
    </row>
    <row r="37" spans="1:11">
      <c r="A37" s="293" t="str">
        <f t="shared" si="2"/>
        <v xml:space="preserve"> </v>
      </c>
      <c r="B37" s="106" t="str">
        <f t="shared" si="0"/>
        <v xml:space="preserve"> </v>
      </c>
      <c r="C37" s="442"/>
      <c r="D37" s="304" t="str">
        <f t="shared" si="1"/>
        <v xml:space="preserve"> </v>
      </c>
      <c r="E37" s="297" t="str">
        <f t="shared" si="9"/>
        <v xml:space="preserve"> </v>
      </c>
      <c r="F37" s="424" t="str">
        <f t="shared" si="10"/>
        <v xml:space="preserve"> </v>
      </c>
      <c r="G37" s="424" t="str">
        <f t="shared" si="11"/>
        <v xml:space="preserve"> </v>
      </c>
      <c r="H37" s="424" t="str">
        <f t="shared" si="12"/>
        <v xml:space="preserve"> </v>
      </c>
      <c r="I37" s="297" t="str">
        <f t="shared" si="13"/>
        <v xml:space="preserve"> </v>
      </c>
      <c r="J37" s="301" t="str">
        <f t="shared" si="14"/>
        <v xml:space="preserve"> </v>
      </c>
      <c r="K37" s="70"/>
    </row>
    <row r="38" spans="1:11">
      <c r="A38" s="293" t="str">
        <f t="shared" si="2"/>
        <v xml:space="preserve"> </v>
      </c>
      <c r="B38" s="106" t="str">
        <f t="shared" si="0"/>
        <v xml:space="preserve"> </v>
      </c>
      <c r="C38" s="442"/>
      <c r="D38" s="304" t="str">
        <f t="shared" si="1"/>
        <v xml:space="preserve"> </v>
      </c>
      <c r="E38" s="297" t="str">
        <f t="shared" si="9"/>
        <v xml:space="preserve"> </v>
      </c>
      <c r="F38" s="424" t="str">
        <f t="shared" si="10"/>
        <v xml:space="preserve"> </v>
      </c>
      <c r="G38" s="424" t="str">
        <f t="shared" si="11"/>
        <v xml:space="preserve"> </v>
      </c>
      <c r="H38" s="424" t="str">
        <f t="shared" si="12"/>
        <v xml:space="preserve"> </v>
      </c>
      <c r="I38" s="297" t="str">
        <f t="shared" si="13"/>
        <v xml:space="preserve"> </v>
      </c>
      <c r="J38" s="301" t="str">
        <f t="shared" si="14"/>
        <v xml:space="preserve"> </v>
      </c>
      <c r="K38" s="70"/>
    </row>
    <row r="39" spans="1:11">
      <c r="A39" s="293" t="str">
        <f t="shared" si="2"/>
        <v xml:space="preserve"> </v>
      </c>
      <c r="B39" s="106" t="str">
        <f t="shared" si="0"/>
        <v xml:space="preserve"> </v>
      </c>
      <c r="C39" s="442"/>
      <c r="D39" s="304" t="str">
        <f t="shared" si="1"/>
        <v xml:space="preserve"> </v>
      </c>
      <c r="E39" s="297" t="str">
        <f t="shared" si="9"/>
        <v xml:space="preserve"> </v>
      </c>
      <c r="F39" s="424" t="str">
        <f t="shared" si="10"/>
        <v xml:space="preserve"> </v>
      </c>
      <c r="G39" s="424" t="str">
        <f t="shared" si="11"/>
        <v xml:space="preserve"> </v>
      </c>
      <c r="H39" s="424" t="str">
        <f t="shared" si="12"/>
        <v xml:space="preserve"> </v>
      </c>
      <c r="I39" s="297" t="str">
        <f t="shared" si="13"/>
        <v xml:space="preserve"> </v>
      </c>
      <c r="J39" s="301" t="str">
        <f t="shared" si="14"/>
        <v xml:space="preserve"> </v>
      </c>
      <c r="K39" s="70"/>
    </row>
    <row r="40" spans="1:11">
      <c r="A40" s="293" t="str">
        <f t="shared" si="2"/>
        <v xml:space="preserve"> </v>
      </c>
      <c r="B40" s="106" t="str">
        <f t="shared" si="0"/>
        <v xml:space="preserve"> </v>
      </c>
      <c r="C40" s="442"/>
      <c r="D40" s="304" t="str">
        <f t="shared" si="1"/>
        <v xml:space="preserve"> </v>
      </c>
      <c r="E40" s="297" t="str">
        <f t="shared" si="9"/>
        <v xml:space="preserve"> </v>
      </c>
      <c r="F40" s="424" t="str">
        <f t="shared" si="10"/>
        <v xml:space="preserve"> </v>
      </c>
      <c r="G40" s="424" t="str">
        <f t="shared" si="11"/>
        <v xml:space="preserve"> </v>
      </c>
      <c r="H40" s="424" t="str">
        <f t="shared" si="12"/>
        <v xml:space="preserve"> </v>
      </c>
      <c r="I40" s="297" t="str">
        <f t="shared" si="13"/>
        <v xml:space="preserve"> </v>
      </c>
      <c r="J40" s="301" t="str">
        <f t="shared" si="14"/>
        <v xml:space="preserve"> </v>
      </c>
      <c r="K40" s="70"/>
    </row>
    <row r="41" spans="1:11">
      <c r="A41" s="293" t="str">
        <f t="shared" si="2"/>
        <v xml:space="preserve"> </v>
      </c>
      <c r="B41" s="106" t="str">
        <f t="shared" si="0"/>
        <v xml:space="preserve"> </v>
      </c>
      <c r="C41" s="442"/>
      <c r="D41" s="304" t="str">
        <f t="shared" si="1"/>
        <v xml:space="preserve"> </v>
      </c>
      <c r="E41" s="297" t="str">
        <f t="shared" si="9"/>
        <v xml:space="preserve"> </v>
      </c>
      <c r="F41" s="424" t="str">
        <f t="shared" si="10"/>
        <v xml:space="preserve"> </v>
      </c>
      <c r="G41" s="424" t="str">
        <f t="shared" si="11"/>
        <v xml:space="preserve"> </v>
      </c>
      <c r="H41" s="424" t="str">
        <f t="shared" si="12"/>
        <v xml:space="preserve"> </v>
      </c>
      <c r="I41" s="297" t="str">
        <f t="shared" si="13"/>
        <v xml:space="preserve"> </v>
      </c>
      <c r="J41" s="301" t="str">
        <f t="shared" si="14"/>
        <v xml:space="preserve"> </v>
      </c>
      <c r="K41" s="70"/>
    </row>
    <row r="42" spans="1:11">
      <c r="A42" s="293" t="str">
        <f t="shared" si="2"/>
        <v xml:space="preserve"> </v>
      </c>
      <c r="B42" s="106" t="str">
        <f t="shared" si="0"/>
        <v xml:space="preserve"> </v>
      </c>
      <c r="C42" s="442"/>
      <c r="D42" s="304" t="str">
        <f t="shared" si="1"/>
        <v xml:space="preserve"> </v>
      </c>
      <c r="E42" s="297" t="str">
        <f t="shared" si="9"/>
        <v xml:space="preserve"> </v>
      </c>
      <c r="F42" s="424" t="str">
        <f t="shared" si="10"/>
        <v xml:space="preserve"> </v>
      </c>
      <c r="G42" s="424" t="str">
        <f t="shared" si="11"/>
        <v xml:space="preserve"> </v>
      </c>
      <c r="H42" s="424" t="str">
        <f t="shared" si="12"/>
        <v xml:space="preserve"> </v>
      </c>
      <c r="I42" s="297" t="str">
        <f t="shared" si="13"/>
        <v xml:space="preserve"> </v>
      </c>
      <c r="J42" s="301" t="str">
        <f t="shared" si="14"/>
        <v xml:space="preserve"> </v>
      </c>
      <c r="K42" s="70"/>
    </row>
    <row r="43" spans="1:11">
      <c r="A43" s="293" t="str">
        <f t="shared" si="2"/>
        <v xml:space="preserve"> </v>
      </c>
      <c r="B43" s="106" t="str">
        <f t="shared" si="0"/>
        <v xml:space="preserve"> </v>
      </c>
      <c r="C43" s="442"/>
      <c r="D43" s="304" t="str">
        <f t="shared" si="1"/>
        <v xml:space="preserve"> </v>
      </c>
      <c r="E43" s="297" t="str">
        <f t="shared" si="9"/>
        <v xml:space="preserve"> </v>
      </c>
      <c r="F43" s="424" t="str">
        <f t="shared" si="10"/>
        <v xml:space="preserve"> </v>
      </c>
      <c r="G43" s="424" t="str">
        <f t="shared" si="11"/>
        <v xml:space="preserve"> </v>
      </c>
      <c r="H43" s="424" t="str">
        <f t="shared" si="12"/>
        <v xml:space="preserve"> </v>
      </c>
      <c r="I43" s="297" t="str">
        <f t="shared" si="13"/>
        <v xml:space="preserve"> </v>
      </c>
      <c r="J43" s="301" t="str">
        <f t="shared" si="14"/>
        <v xml:space="preserve"> </v>
      </c>
      <c r="K43" s="70"/>
    </row>
  </sheetData>
  <mergeCells count="2">
    <mergeCell ref="J12:J13"/>
    <mergeCell ref="D12:D13"/>
  </mergeCells>
  <phoneticPr fontId="2" type="noConversion"/>
  <conditionalFormatting sqref="H15:I43">
    <cfRule type="cellIs" dxfId="1" priority="1" stopIfTrue="1" operator="notBetween">
      <formula>-10000000000000</formula>
      <formula>10000000000</formula>
    </cfRule>
  </conditionalFormatting>
  <conditionalFormatting sqref="G15:G43">
    <cfRule type="cellIs" dxfId="0" priority="2" stopIfTrue="1" operator="notBetween">
      <formula>-10000000000000</formula>
      <formula>10000000000</formula>
    </cfRule>
  </conditionalFormatting>
  <pageMargins left="0.78740157499999996" right="0.78740157499999996" top="0.984251969" bottom="0.984251969" header="0.4921259845" footer="0.4921259845"/>
  <pageSetup paperSize="9" orientation="portrait" horizontalDpi="300" verticalDpi="300" r:id="rId1"/>
  <headerFooter alignWithMargins="0">
    <oddHeader>&amp;A</oddHeader>
    <oddFooter>Seite &amp;P</oddFooter>
  </headerFooter>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0"/>
  <dimension ref="A1:L149"/>
  <sheetViews>
    <sheetView workbookViewId="0">
      <selection activeCell="C3" sqref="C3"/>
    </sheetView>
  </sheetViews>
  <sheetFormatPr baseColWidth="10" defaultRowHeight="12.75"/>
  <cols>
    <col min="1" max="1" width="6.140625" customWidth="1"/>
    <col min="4" max="4" width="12.140625" customWidth="1"/>
    <col min="6" max="6" width="12.28515625" customWidth="1"/>
    <col min="7" max="7" width="11.28515625" customWidth="1"/>
    <col min="8" max="8" width="14" customWidth="1"/>
    <col min="9" max="9" width="5.5703125" customWidth="1"/>
    <col min="10" max="10" width="10.42578125" customWidth="1"/>
    <col min="12" max="12" width="14.7109375" customWidth="1"/>
  </cols>
  <sheetData>
    <row r="1" spans="1:12">
      <c r="A1" s="70"/>
      <c r="B1" s="84" t="s">
        <v>209</v>
      </c>
      <c r="C1" s="84"/>
      <c r="D1" s="84"/>
      <c r="E1" s="84"/>
      <c r="F1" s="84"/>
      <c r="G1" s="70"/>
      <c r="H1" s="70"/>
      <c r="I1" s="70"/>
      <c r="J1" s="70"/>
      <c r="K1" s="70"/>
      <c r="L1" s="147"/>
    </row>
    <row r="2" spans="1:12">
      <c r="A2" s="70"/>
      <c r="B2" s="70" t="s">
        <v>210</v>
      </c>
      <c r="C2" s="70"/>
      <c r="D2" s="70"/>
      <c r="E2" s="70"/>
      <c r="F2" s="70"/>
      <c r="G2" s="70"/>
      <c r="H2" s="70"/>
      <c r="I2" s="70"/>
      <c r="J2" s="70"/>
      <c r="K2" s="70"/>
      <c r="L2" s="147"/>
    </row>
    <row r="3" spans="1:12">
      <c r="A3" s="70"/>
      <c r="B3" s="70" t="s">
        <v>211</v>
      </c>
      <c r="C3" s="192">
        <v>37942</v>
      </c>
      <c r="D3" s="70"/>
      <c r="E3" s="70" t="s">
        <v>212</v>
      </c>
      <c r="F3" s="70"/>
      <c r="G3" s="70"/>
      <c r="H3" s="8">
        <v>0</v>
      </c>
      <c r="I3" s="227" t="s">
        <v>213</v>
      </c>
      <c r="J3" s="70"/>
      <c r="K3" s="70"/>
      <c r="L3" s="147"/>
    </row>
    <row r="4" spans="1:12">
      <c r="A4" s="70"/>
      <c r="B4" s="70"/>
      <c r="C4" s="70"/>
      <c r="D4" s="70"/>
      <c r="E4" s="70"/>
      <c r="F4" s="70"/>
      <c r="G4" s="70"/>
      <c r="H4" s="70"/>
      <c r="I4" s="70"/>
      <c r="J4" s="70"/>
      <c r="K4" s="70"/>
      <c r="L4" s="147"/>
    </row>
    <row r="5" spans="1:12" ht="38.25" customHeight="1">
      <c r="A5" s="228" t="s">
        <v>214</v>
      </c>
      <c r="B5" s="229" t="s">
        <v>215</v>
      </c>
      <c r="C5" s="423" t="s">
        <v>482</v>
      </c>
      <c r="D5" s="228" t="s">
        <v>216</v>
      </c>
      <c r="E5" s="228" t="s">
        <v>217</v>
      </c>
      <c r="F5" s="228" t="s">
        <v>218</v>
      </c>
      <c r="G5" s="230" t="s">
        <v>219</v>
      </c>
      <c r="H5" s="70"/>
      <c r="I5" s="231" t="str">
        <f t="shared" ref="I5:I24" si="0">A5</f>
        <v>Jahr</v>
      </c>
      <c r="J5" s="232" t="str">
        <f t="shared" ref="J5:J24" si="1">B5</f>
        <v>Datum Valuta</v>
      </c>
      <c r="K5" s="233" t="s">
        <v>220</v>
      </c>
      <c r="L5" s="230" t="s">
        <v>221</v>
      </c>
    </row>
    <row r="6" spans="1:12">
      <c r="A6" s="234">
        <v>0</v>
      </c>
      <c r="B6" s="235">
        <f>IF(WEEKDAY(C3+2)=7,C3+3,IF(WEEKDAY(C3+2)=1,3,C3+2))</f>
        <v>37944</v>
      </c>
      <c r="C6" s="140"/>
      <c r="D6" s="140"/>
      <c r="E6" s="140"/>
      <c r="F6" s="231">
        <v>1</v>
      </c>
      <c r="G6" s="231"/>
      <c r="H6" s="70"/>
      <c r="I6" s="140">
        <f t="shared" si="0"/>
        <v>0</v>
      </c>
      <c r="J6" s="236">
        <f t="shared" si="1"/>
        <v>37944</v>
      </c>
      <c r="K6" s="237" t="s">
        <v>222</v>
      </c>
      <c r="L6" s="238" t="s">
        <v>11</v>
      </c>
    </row>
    <row r="7" spans="1:12">
      <c r="A7" s="239">
        <f>1/12</f>
        <v>8.3333333333333329E-2</v>
      </c>
      <c r="B7" s="240">
        <f t="shared" ref="B7:B24" si="2">EDATE($B$6,12*A7)+IF(WEEKDAY(EDATE($B$6,12*A7))=7,2,IF(WEEKDAY(EDATE($B$6,12*A7))=1,1,0))</f>
        <v>37974</v>
      </c>
      <c r="C7" s="241">
        <f>2.066%+$H$3</f>
        <v>2.0659999999999998E-2</v>
      </c>
      <c r="D7" s="242">
        <f>(B7-$B$6)/360</f>
        <v>8.3333333333333329E-2</v>
      </c>
      <c r="E7" s="140"/>
      <c r="F7" s="243">
        <f>1/(1+D7*C7)</f>
        <v>0.9982812923749611</v>
      </c>
      <c r="G7" s="244">
        <f>(1/F7-1)/D7</f>
        <v>2.0659999999999457E-2</v>
      </c>
      <c r="H7" s="70"/>
      <c r="I7" s="140">
        <f t="shared" si="0"/>
        <v>8.3333333333333329E-2</v>
      </c>
      <c r="J7" s="236">
        <f t="shared" si="1"/>
        <v>37974</v>
      </c>
      <c r="K7" s="245">
        <f t="shared" ref="K7:K23" si="3">F8/F7</f>
        <v>0.99623771015151918</v>
      </c>
      <c r="L7" s="246">
        <f t="shared" ref="L7:L23" si="4">(1/K7-1)/(B8-B7)*360</f>
        <v>2.1928053652575517E-2</v>
      </c>
    </row>
    <row r="8" spans="1:12">
      <c r="A8" s="247">
        <f>3/12</f>
        <v>0.25</v>
      </c>
      <c r="B8" s="240">
        <f t="shared" si="2"/>
        <v>38036</v>
      </c>
      <c r="C8" s="241">
        <f>2.154%+$H$3</f>
        <v>2.154E-2</v>
      </c>
      <c r="D8" s="242">
        <f>(B8-$B$6)/360</f>
        <v>0.25555555555555554</v>
      </c>
      <c r="E8" s="140"/>
      <c r="F8" s="243">
        <f>1/(1+D8*C8)</f>
        <v>0.99452546880273052</v>
      </c>
      <c r="G8" s="244">
        <f>(1/F8-1)/D8</f>
        <v>2.1540000000000184E-2</v>
      </c>
      <c r="H8" s="70"/>
      <c r="I8" s="140">
        <f t="shared" si="0"/>
        <v>0.25</v>
      </c>
      <c r="J8" s="236">
        <f t="shared" si="1"/>
        <v>38036</v>
      </c>
      <c r="K8" s="245">
        <f t="shared" si="3"/>
        <v>0.99445418130905139</v>
      </c>
      <c r="L8" s="246">
        <f t="shared" si="4"/>
        <v>2.2306985259585407E-2</v>
      </c>
    </row>
    <row r="9" spans="1:12">
      <c r="A9" s="247">
        <v>0.5</v>
      </c>
      <c r="B9" s="240">
        <f t="shared" si="2"/>
        <v>38126</v>
      </c>
      <c r="C9" s="241">
        <f>2.198%+$H$3</f>
        <v>2.198E-2</v>
      </c>
      <c r="D9" s="242">
        <f>(B9-$B$6)/360</f>
        <v>0.50555555555555554</v>
      </c>
      <c r="E9" s="140"/>
      <c r="F9" s="243">
        <f>1/(1+D9*C9)</f>
        <v>0.98901001086921991</v>
      </c>
      <c r="G9" s="244">
        <f>(1/F9-1)/D9</f>
        <v>2.1980000000000201E-2</v>
      </c>
      <c r="H9" s="70"/>
      <c r="I9" s="140">
        <f t="shared" si="0"/>
        <v>0.5</v>
      </c>
      <c r="J9" s="236">
        <f t="shared" si="1"/>
        <v>38126</v>
      </c>
      <c r="K9" s="245">
        <f t="shared" si="3"/>
        <v>0.98756767477149654</v>
      </c>
      <c r="L9" s="246">
        <f t="shared" si="4"/>
        <v>2.4630326810904258E-2</v>
      </c>
    </row>
    <row r="10" spans="1:12">
      <c r="A10" s="234">
        <v>1</v>
      </c>
      <c r="B10" s="240">
        <f t="shared" si="2"/>
        <v>38310</v>
      </c>
      <c r="C10" s="241">
        <f>2.345%+$H$3</f>
        <v>2.3450000000000002E-2</v>
      </c>
      <c r="D10" s="242">
        <f>(B10-$B$6)/360</f>
        <v>1.0166666666666666</v>
      </c>
      <c r="E10" s="242">
        <f>YEARFRAC(B6,B10,4)</f>
        <v>1</v>
      </c>
      <c r="F10" s="243">
        <f>1/(1+D10*C10)</f>
        <v>0.97671431675984799</v>
      </c>
      <c r="G10" s="244">
        <f>(1/F10-1)/D10</f>
        <v>2.3449999999999978E-2</v>
      </c>
      <c r="H10" s="70"/>
      <c r="I10" s="140">
        <f t="shared" si="0"/>
        <v>1</v>
      </c>
      <c r="J10" s="236">
        <f t="shared" si="1"/>
        <v>38310</v>
      </c>
      <c r="K10" s="245">
        <f t="shared" si="3"/>
        <v>0.96818629723150529</v>
      </c>
      <c r="L10" s="246">
        <f t="shared" si="4"/>
        <v>3.2232331719097861E-2</v>
      </c>
    </row>
    <row r="11" spans="1:12">
      <c r="A11" s="234">
        <v>2</v>
      </c>
      <c r="B11" s="240">
        <f t="shared" si="2"/>
        <v>38677</v>
      </c>
      <c r="C11" s="248">
        <f>2.82%+H3</f>
        <v>2.8199999999999999E-2</v>
      </c>
      <c r="D11" s="242">
        <f t="shared" ref="D11:D24" si="5">YEARFRAC($B$6,B11,4)</f>
        <v>2.0055555555555555</v>
      </c>
      <c r="E11" s="242">
        <f>D11-1</f>
        <v>1.0055555555555555</v>
      </c>
      <c r="F11" s="243">
        <f>(1-C11*SUMPRODUCT($E$10:E10,$F$10:F10))/(1+C11*E11)</f>
        <v>0.94564141779671684</v>
      </c>
      <c r="G11" s="244">
        <f t="shared" ref="G11:G24" si="6">F11^(-1/D11)-1</f>
        <v>2.8260463250093348E-2</v>
      </c>
      <c r="H11" s="70"/>
      <c r="I11" s="140">
        <f t="shared" si="0"/>
        <v>2</v>
      </c>
      <c r="J11" s="236">
        <f t="shared" si="1"/>
        <v>38677</v>
      </c>
      <c r="K11" s="245">
        <f t="shared" si="3"/>
        <v>0.96185977065887796</v>
      </c>
      <c r="L11" s="246">
        <f t="shared" si="4"/>
        <v>3.9216845420128134E-2</v>
      </c>
    </row>
    <row r="12" spans="1:12">
      <c r="A12" s="234">
        <v>3</v>
      </c>
      <c r="B12" s="240">
        <f t="shared" si="2"/>
        <v>39041</v>
      </c>
      <c r="C12" s="248">
        <f>3.19%+H3</f>
        <v>3.1899999999999998E-2</v>
      </c>
      <c r="D12" s="242">
        <f t="shared" si="5"/>
        <v>3.0027777777777778</v>
      </c>
      <c r="E12" s="242">
        <f t="shared" ref="E12:E24" si="7">D12-D11</f>
        <v>0.99722222222222223</v>
      </c>
      <c r="F12" s="243">
        <f>(1-C12*SUMPRODUCT($E$10:E11,$F$10:F11))/(1+C12*E12)</f>
        <v>0.90957443724748621</v>
      </c>
      <c r="G12" s="244">
        <f t="shared" si="6"/>
        <v>3.2067000447168148E-2</v>
      </c>
      <c r="H12" s="70"/>
      <c r="I12" s="140">
        <f t="shared" si="0"/>
        <v>3</v>
      </c>
      <c r="J12" s="236">
        <f t="shared" si="1"/>
        <v>39041</v>
      </c>
      <c r="K12" s="245">
        <f t="shared" si="3"/>
        <v>0.95733250775266499</v>
      </c>
      <c r="L12" s="246">
        <f t="shared" si="4"/>
        <v>4.4079375101569021E-2</v>
      </c>
    </row>
    <row r="13" spans="1:12">
      <c r="A13" s="234">
        <v>4</v>
      </c>
      <c r="B13" s="240">
        <f t="shared" si="2"/>
        <v>39405</v>
      </c>
      <c r="C13" s="248">
        <f>3.49%+H3</f>
        <v>3.49E-2</v>
      </c>
      <c r="D13" s="242">
        <f t="shared" si="5"/>
        <v>4</v>
      </c>
      <c r="E13" s="242">
        <f t="shared" si="7"/>
        <v>0.99722222222222223</v>
      </c>
      <c r="F13" s="243">
        <f>(1-C13*SUMPRODUCT($E$10:E12,$F$10:F12))/(1+C13*E13)</f>
        <v>0.87076517699785494</v>
      </c>
      <c r="G13" s="244">
        <f t="shared" si="6"/>
        <v>3.5201128635307555E-2</v>
      </c>
      <c r="H13" s="70"/>
      <c r="I13" s="140">
        <f t="shared" si="0"/>
        <v>4</v>
      </c>
      <c r="J13" s="236">
        <f t="shared" si="1"/>
        <v>39405</v>
      </c>
      <c r="K13" s="245">
        <f t="shared" si="3"/>
        <v>0.95470406183043255</v>
      </c>
      <c r="L13" s="246">
        <f t="shared" si="4"/>
        <v>4.6667217190540324E-2</v>
      </c>
    </row>
    <row r="14" spans="1:12">
      <c r="A14" s="234">
        <v>5</v>
      </c>
      <c r="B14" s="240">
        <f t="shared" si="2"/>
        <v>39771</v>
      </c>
      <c r="C14" s="248">
        <f>3.72%+H3</f>
        <v>3.7200000000000004E-2</v>
      </c>
      <c r="D14" s="242">
        <f t="shared" si="5"/>
        <v>5</v>
      </c>
      <c r="E14" s="242">
        <f t="shared" si="7"/>
        <v>1</v>
      </c>
      <c r="F14" s="243">
        <f>(1-C14*SUMPRODUCT($E$10:E13,$F$10:F13))/(1+C14*E14)</f>
        <v>0.83132305138034768</v>
      </c>
      <c r="G14" s="244">
        <f t="shared" si="6"/>
        <v>3.7638400089557544E-2</v>
      </c>
      <c r="H14" s="70"/>
      <c r="I14" s="140">
        <f t="shared" si="0"/>
        <v>5</v>
      </c>
      <c r="J14" s="236">
        <f t="shared" si="1"/>
        <v>39771</v>
      </c>
      <c r="K14" s="245">
        <f t="shared" si="3"/>
        <v>0.95178146722920942</v>
      </c>
      <c r="L14" s="246">
        <f t="shared" si="4"/>
        <v>4.9967357594243124E-2</v>
      </c>
    </row>
    <row r="15" spans="1:12">
      <c r="A15" s="234">
        <v>6</v>
      </c>
      <c r="B15" s="240">
        <f t="shared" si="2"/>
        <v>40136</v>
      </c>
      <c r="C15" s="248">
        <f>3.92%+$H$3</f>
        <v>3.9199999999999999E-2</v>
      </c>
      <c r="D15" s="242">
        <f t="shared" si="5"/>
        <v>6</v>
      </c>
      <c r="E15" s="242">
        <f t="shared" si="7"/>
        <v>1</v>
      </c>
      <c r="F15" s="243">
        <f>(1-C15*SUMPRODUCT($E$10:E14,$F$10:F14))/(1+C15*E15)</f>
        <v>0.79123787358425079</v>
      </c>
      <c r="G15" s="244">
        <f t="shared" si="6"/>
        <v>3.9797627435631755E-2</v>
      </c>
      <c r="H15" s="70"/>
      <c r="I15" s="140">
        <f t="shared" si="0"/>
        <v>6</v>
      </c>
      <c r="J15" s="236">
        <f t="shared" si="1"/>
        <v>40136</v>
      </c>
      <c r="K15" s="245">
        <f t="shared" si="3"/>
        <v>0.95045246066722444</v>
      </c>
      <c r="L15" s="246">
        <f t="shared" si="4"/>
        <v>5.1416360038619727E-2</v>
      </c>
    </row>
    <row r="16" spans="1:12">
      <c r="A16" s="234">
        <v>7</v>
      </c>
      <c r="B16" s="240">
        <f t="shared" si="2"/>
        <v>40501</v>
      </c>
      <c r="C16" s="248">
        <f>4.08%+$H$3</f>
        <v>4.0800000000000003E-2</v>
      </c>
      <c r="D16" s="242">
        <f t="shared" si="5"/>
        <v>7</v>
      </c>
      <c r="E16" s="242">
        <f t="shared" si="7"/>
        <v>1</v>
      </c>
      <c r="F16" s="243">
        <f>(1-C16*SUMPRODUCT($E$10:E15,$F$10:F15))/(1+C16*E16)</f>
        <v>0.75203398392125342</v>
      </c>
      <c r="G16" s="244">
        <f t="shared" si="6"/>
        <v>4.1550572396494623E-2</v>
      </c>
      <c r="H16" s="70"/>
      <c r="I16" s="140">
        <f t="shared" si="0"/>
        <v>7</v>
      </c>
      <c r="J16" s="236">
        <f t="shared" si="1"/>
        <v>40501</v>
      </c>
      <c r="K16" s="245">
        <f t="shared" si="3"/>
        <v>0.94843933701310768</v>
      </c>
      <c r="L16" s="246">
        <f t="shared" si="4"/>
        <v>5.3326781297515932E-2</v>
      </c>
    </row>
    <row r="17" spans="1:12">
      <c r="A17" s="234">
        <v>8</v>
      </c>
      <c r="B17" s="240">
        <f t="shared" si="2"/>
        <v>40868</v>
      </c>
      <c r="C17" s="248">
        <f>4.22%+$H$3</f>
        <v>4.2199999999999994E-2</v>
      </c>
      <c r="D17" s="242">
        <f t="shared" si="5"/>
        <v>8.0055555555555564</v>
      </c>
      <c r="E17" s="242">
        <f t="shared" si="7"/>
        <v>1.0055555555555564</v>
      </c>
      <c r="F17" s="243">
        <f>(1-C17*SUMPRODUCT($E$10:E16,$F$10:F16))/(1+C17*E17)</f>
        <v>0.71325861312159966</v>
      </c>
      <c r="G17" s="244">
        <f t="shared" si="6"/>
        <v>4.3113081307560419E-2</v>
      </c>
      <c r="H17" s="70"/>
      <c r="I17" s="140">
        <f t="shared" si="0"/>
        <v>8</v>
      </c>
      <c r="J17" s="236">
        <f t="shared" si="1"/>
        <v>40868</v>
      </c>
      <c r="K17" s="245">
        <f t="shared" si="3"/>
        <v>0.94867163590219994</v>
      </c>
      <c r="L17" s="246">
        <f t="shared" si="4"/>
        <v>5.3510945430980249E-2</v>
      </c>
    </row>
    <row r="18" spans="1:12">
      <c r="A18" s="234">
        <v>9</v>
      </c>
      <c r="B18" s="240">
        <f t="shared" si="2"/>
        <v>41232</v>
      </c>
      <c r="C18" s="248">
        <f>4.33%+$H$3</f>
        <v>4.3299999999999998E-2</v>
      </c>
      <c r="D18" s="242">
        <f t="shared" si="5"/>
        <v>9</v>
      </c>
      <c r="E18" s="242">
        <f t="shared" si="7"/>
        <v>0.99444444444444358</v>
      </c>
      <c r="F18" s="243">
        <f>(1-C18*SUMPRODUCT($E$10:E17,$F$10:F17))/(1+C18*E18)</f>
        <v>0.67664821533140229</v>
      </c>
      <c r="G18" s="244">
        <f t="shared" si="6"/>
        <v>4.4355990303954984E-2</v>
      </c>
      <c r="H18" s="70"/>
      <c r="I18" s="140">
        <f t="shared" si="0"/>
        <v>9</v>
      </c>
      <c r="J18" s="236">
        <f t="shared" si="1"/>
        <v>41232</v>
      </c>
      <c r="K18" s="245">
        <f t="shared" si="3"/>
        <v>0.9481586944836482</v>
      </c>
      <c r="L18" s="246">
        <f t="shared" si="4"/>
        <v>5.3926785614838449E-2</v>
      </c>
    </row>
    <row r="19" spans="1:12">
      <c r="A19" s="234">
        <v>10</v>
      </c>
      <c r="B19" s="240">
        <f t="shared" si="2"/>
        <v>41597</v>
      </c>
      <c r="C19" s="248">
        <f>4.42%+$H$3</f>
        <v>4.4199999999999996E-2</v>
      </c>
      <c r="D19" s="242">
        <f t="shared" si="5"/>
        <v>10</v>
      </c>
      <c r="E19" s="242">
        <f t="shared" si="7"/>
        <v>1</v>
      </c>
      <c r="F19" s="243">
        <f>(1-C19*SUMPRODUCT($E$10:E18,$F$10:F18))/(1+C19*E19)</f>
        <v>0.64156988847331287</v>
      </c>
      <c r="G19" s="244">
        <f t="shared" si="6"/>
        <v>4.5383407803695874E-2</v>
      </c>
      <c r="H19" s="70"/>
      <c r="I19" s="140">
        <f t="shared" si="0"/>
        <v>10</v>
      </c>
      <c r="J19" s="236">
        <f t="shared" si="1"/>
        <v>41597</v>
      </c>
      <c r="K19" s="245">
        <f t="shared" si="3"/>
        <v>0.9479115677397818</v>
      </c>
      <c r="L19" s="246">
        <f t="shared" si="4"/>
        <v>5.4197979896763164E-2</v>
      </c>
    </row>
    <row r="20" spans="1:12">
      <c r="A20" s="234">
        <v>11</v>
      </c>
      <c r="B20" s="240">
        <f t="shared" si="2"/>
        <v>41962</v>
      </c>
      <c r="C20" s="248">
        <f>(C19+C21)/2</f>
        <v>4.4950000000000004E-2</v>
      </c>
      <c r="D20" s="242">
        <f t="shared" si="5"/>
        <v>11</v>
      </c>
      <c r="E20" s="242">
        <f t="shared" si="7"/>
        <v>1</v>
      </c>
      <c r="F20" s="243">
        <f>(1-C20*SUMPRODUCT($E$10:E19,$F$10:F19))/(1+C20*E20)</f>
        <v>0.60815151879737495</v>
      </c>
      <c r="G20" s="244">
        <f t="shared" si="6"/>
        <v>4.6249567088273436E-2</v>
      </c>
      <c r="H20" s="70"/>
      <c r="I20" s="140">
        <f t="shared" si="0"/>
        <v>11</v>
      </c>
      <c r="J20" s="236">
        <f t="shared" si="1"/>
        <v>41962</v>
      </c>
      <c r="K20" s="245">
        <f t="shared" si="3"/>
        <v>0.94601632435923166</v>
      </c>
      <c r="L20" s="246">
        <f t="shared" si="4"/>
        <v>5.6282509998751208E-2</v>
      </c>
    </row>
    <row r="21" spans="1:12">
      <c r="A21" s="234">
        <v>12</v>
      </c>
      <c r="B21" s="240">
        <f t="shared" si="2"/>
        <v>42327</v>
      </c>
      <c r="C21" s="248">
        <f>4.57%+$H$3</f>
        <v>4.5700000000000005E-2</v>
      </c>
      <c r="D21" s="242">
        <f t="shared" si="5"/>
        <v>12</v>
      </c>
      <c r="E21" s="242">
        <f t="shared" si="7"/>
        <v>1</v>
      </c>
      <c r="F21" s="243">
        <f>(1-C21*SUMPRODUCT($E$10:E20,$F$10:F20))/(1+C21*E21)</f>
        <v>0.57532126446617682</v>
      </c>
      <c r="G21" s="244">
        <f t="shared" si="6"/>
        <v>4.7146545821889152E-2</v>
      </c>
      <c r="H21" s="70"/>
      <c r="I21" s="140">
        <f t="shared" si="0"/>
        <v>12</v>
      </c>
      <c r="J21" s="236">
        <f t="shared" si="1"/>
        <v>42327</v>
      </c>
      <c r="K21" s="245">
        <f t="shared" si="3"/>
        <v>0.94598131006156649</v>
      </c>
      <c r="L21" s="246">
        <f t="shared" si="4"/>
        <v>5.5861960516436257E-2</v>
      </c>
    </row>
    <row r="22" spans="1:12">
      <c r="A22" s="234">
        <v>13</v>
      </c>
      <c r="B22" s="240">
        <f t="shared" si="2"/>
        <v>42695</v>
      </c>
      <c r="C22" s="248">
        <f>C21+(C24-C21)/3</f>
        <v>4.6316666666666673E-2</v>
      </c>
      <c r="D22" s="242">
        <f t="shared" si="5"/>
        <v>13.005555555555556</v>
      </c>
      <c r="E22" s="242">
        <f t="shared" si="7"/>
        <v>1.0055555555555564</v>
      </c>
      <c r="F22" s="243">
        <f>(1-C22*SUMPRODUCT($E$10:E21,$F$10:F21))/(1+C22*E22)</f>
        <v>0.54424316346599089</v>
      </c>
      <c r="G22" s="244">
        <f t="shared" si="6"/>
        <v>4.7888164388232957E-2</v>
      </c>
      <c r="H22" s="70"/>
      <c r="I22" s="140">
        <f t="shared" si="0"/>
        <v>13</v>
      </c>
      <c r="J22" s="236">
        <f t="shared" si="1"/>
        <v>42695</v>
      </c>
      <c r="K22" s="245">
        <f t="shared" si="3"/>
        <v>0.94463866310920452</v>
      </c>
      <c r="L22" s="246">
        <f t="shared" si="4"/>
        <v>5.7961814066683562E-2</v>
      </c>
    </row>
    <row r="23" spans="1:12">
      <c r="A23" s="234">
        <v>14</v>
      </c>
      <c r="B23" s="240">
        <f t="shared" si="2"/>
        <v>43059</v>
      </c>
      <c r="C23" s="248">
        <f>C21+(C24-C21)/3*2</f>
        <v>4.6933333333333334E-2</v>
      </c>
      <c r="D23" s="242">
        <f t="shared" si="5"/>
        <v>14.002777777777778</v>
      </c>
      <c r="E23" s="242">
        <f t="shared" si="7"/>
        <v>0.99722222222222179</v>
      </c>
      <c r="F23" s="243">
        <f>(1-C23*SUMPRODUCT($E$10:E22,$F$10:F22))/(1+C23*E23)</f>
        <v>0.5141131343428379</v>
      </c>
      <c r="G23" s="244">
        <f t="shared" si="6"/>
        <v>4.8659680196991628E-2</v>
      </c>
      <c r="H23" s="70"/>
      <c r="I23" s="140">
        <f t="shared" si="0"/>
        <v>14</v>
      </c>
      <c r="J23" s="236">
        <f t="shared" si="1"/>
        <v>43059</v>
      </c>
      <c r="K23" s="245">
        <f t="shared" si="3"/>
        <v>0.94287309709116829</v>
      </c>
      <c r="L23" s="246">
        <f t="shared" si="4"/>
        <v>5.9922310774697375E-2</v>
      </c>
    </row>
    <row r="24" spans="1:12">
      <c r="A24" s="234">
        <v>15</v>
      </c>
      <c r="B24" s="240">
        <f t="shared" si="2"/>
        <v>43423</v>
      </c>
      <c r="C24" s="248">
        <f>4.755%+$H$3</f>
        <v>4.7550000000000002E-2</v>
      </c>
      <c r="D24" s="242">
        <f t="shared" si="5"/>
        <v>15</v>
      </c>
      <c r="E24" s="242">
        <f t="shared" si="7"/>
        <v>0.99722222222222179</v>
      </c>
      <c r="F24" s="243">
        <f>(1-C24*SUMPRODUCT($E$10:E23,$F$10:F23))/(1+C24*E24)</f>
        <v>0.48474344323307944</v>
      </c>
      <c r="G24" s="244">
        <f t="shared" si="6"/>
        <v>4.9459952323506862E-2</v>
      </c>
      <c r="H24" s="70"/>
      <c r="I24" s="140">
        <f t="shared" si="0"/>
        <v>15</v>
      </c>
      <c r="J24" s="236">
        <f t="shared" si="1"/>
        <v>43423</v>
      </c>
      <c r="K24" s="245"/>
      <c r="L24" s="249"/>
    </row>
    <row r="25" spans="1:12">
      <c r="A25" s="70"/>
      <c r="B25" s="70"/>
      <c r="C25" s="70"/>
      <c r="D25" s="70"/>
      <c r="E25" s="70"/>
      <c r="F25" s="70"/>
      <c r="G25" s="70"/>
      <c r="H25" s="70"/>
      <c r="I25" s="70"/>
      <c r="J25" s="70"/>
      <c r="K25" s="70"/>
      <c r="L25" s="147"/>
    </row>
    <row r="26" spans="1:12">
      <c r="A26" s="84" t="s">
        <v>223</v>
      </c>
      <c r="B26" s="70"/>
      <c r="C26" s="70"/>
      <c r="D26" s="70"/>
      <c r="E26" s="70"/>
      <c r="F26" s="70"/>
      <c r="G26" s="70"/>
      <c r="H26" s="70"/>
      <c r="I26" s="70"/>
      <c r="J26" s="70"/>
      <c r="K26" s="70"/>
      <c r="L26" s="147"/>
    </row>
    <row r="27" spans="1:12">
      <c r="A27" s="70"/>
      <c r="B27" s="192">
        <v>38126</v>
      </c>
      <c r="C27" s="84" t="s">
        <v>224</v>
      </c>
      <c r="D27" s="70"/>
      <c r="E27" s="70"/>
      <c r="F27" s="70"/>
      <c r="G27" s="70"/>
      <c r="H27" s="70"/>
      <c r="I27" s="70"/>
      <c r="J27" s="70"/>
      <c r="K27" s="70"/>
      <c r="L27" s="147"/>
    </row>
    <row r="28" spans="1:12">
      <c r="A28" s="70"/>
      <c r="B28" s="70"/>
      <c r="C28" s="70"/>
      <c r="D28" s="70"/>
      <c r="E28" s="70"/>
      <c r="F28" s="70"/>
      <c r="G28" s="70"/>
      <c r="H28" s="70"/>
      <c r="I28" s="70"/>
      <c r="J28" s="70"/>
      <c r="K28" s="70"/>
      <c r="L28" s="147"/>
    </row>
    <row r="29" spans="1:12">
      <c r="A29" s="70" t="s">
        <v>225</v>
      </c>
      <c r="B29" s="70"/>
      <c r="C29" s="70"/>
      <c r="D29" s="70"/>
      <c r="E29" s="70"/>
      <c r="F29" s="70"/>
      <c r="G29" s="70"/>
      <c r="H29" s="70"/>
      <c r="I29" s="70"/>
      <c r="J29" s="70"/>
      <c r="K29" s="70"/>
      <c r="L29" s="147"/>
    </row>
    <row r="30" spans="1:12">
      <c r="A30" s="228" t="s">
        <v>214</v>
      </c>
      <c r="B30" s="228" t="s">
        <v>28</v>
      </c>
      <c r="C30" s="84"/>
      <c r="D30" s="228" t="s">
        <v>216</v>
      </c>
      <c r="E30" s="84"/>
      <c r="F30" s="228" t="s">
        <v>218</v>
      </c>
      <c r="G30" s="70"/>
      <c r="H30" s="70"/>
      <c r="I30" s="70"/>
      <c r="J30" s="70"/>
      <c r="K30" s="70"/>
      <c r="L30" s="147"/>
    </row>
    <row r="31" spans="1:12">
      <c r="A31" s="140">
        <f>VLOOKUP($B$32,$B$6:$I$24,8)</f>
        <v>0.5</v>
      </c>
      <c r="B31" s="236">
        <f>VLOOKUP(B32,$B$6:$F$24,1)</f>
        <v>38126</v>
      </c>
      <c r="C31" s="70"/>
      <c r="D31" s="250">
        <f>VLOOKUP(A31,$A$6:$D$24,4)</f>
        <v>0.50555555555555554</v>
      </c>
      <c r="E31" s="70"/>
      <c r="F31" s="140">
        <f>VLOOKUP(B31,$B$6:$F$24,5)</f>
        <v>0.98901001086921991</v>
      </c>
      <c r="G31" s="70"/>
      <c r="H31" s="70"/>
      <c r="I31" s="70"/>
      <c r="J31" s="70"/>
      <c r="K31" s="70"/>
      <c r="L31" s="147"/>
    </row>
    <row r="32" spans="1:12">
      <c r="A32" s="140"/>
      <c r="B32" s="251">
        <f>B27</f>
        <v>38126</v>
      </c>
      <c r="C32" s="70">
        <v>0</v>
      </c>
      <c r="D32" s="234" t="s">
        <v>226</v>
      </c>
      <c r="E32" s="70">
        <f>(B33-B32)/(B33-B31)</f>
        <v>1</v>
      </c>
      <c r="F32" s="231">
        <f>EXP((B32-$B$6)*(E32/(B31-$B$6)*LN(F31)+(1-E32)/(B33-$B$6)*LN(F33)))</f>
        <v>0.98901001086921991</v>
      </c>
      <c r="G32" s="70"/>
      <c r="H32" s="70"/>
      <c r="I32" s="70"/>
      <c r="J32" s="70"/>
      <c r="K32" s="70">
        <f>EXP(((B32-B31)*LN(F33)+(B33-B32)*LN(F31))/(B33-B31))</f>
        <v>0.98901001086921991</v>
      </c>
      <c r="L32" s="147"/>
    </row>
    <row r="33" spans="1:12">
      <c r="A33" s="140">
        <f>IF(A31&gt;=1,A31+1,IF(A31&lt;1/12,1/12,IF(A31&lt;3/12,1/4,IF(A31&lt;0.5,0.5,IF(A31&lt;1,1,"Fehler")))))</f>
        <v>1</v>
      </c>
      <c r="B33" s="236">
        <f>VLOOKUP(A33,$A$6:$B$24,2)</f>
        <v>38310</v>
      </c>
      <c r="C33" s="70"/>
      <c r="D33" s="250">
        <f>VLOOKUP(A33,$A$6:$D$24,4)</f>
        <v>1.0166666666666666</v>
      </c>
      <c r="E33" s="70"/>
      <c r="F33" s="140">
        <f>VLOOKUP(B33,$B$6:$F$24,5)</f>
        <v>0.97671431675984799</v>
      </c>
      <c r="G33" s="70"/>
      <c r="H33" s="70"/>
      <c r="I33" s="70"/>
      <c r="J33" s="70"/>
      <c r="K33" s="70"/>
      <c r="L33" s="147"/>
    </row>
    <row r="34" spans="1:12">
      <c r="A34" s="70"/>
      <c r="B34" s="70"/>
      <c r="C34" s="70"/>
      <c r="D34" s="70"/>
      <c r="E34" s="70"/>
      <c r="F34" s="70"/>
      <c r="G34" s="70"/>
      <c r="H34" s="70"/>
      <c r="I34" s="70"/>
      <c r="J34" s="70"/>
      <c r="K34" s="70"/>
      <c r="L34" s="147"/>
    </row>
    <row r="35" spans="1:12">
      <c r="A35" s="140">
        <f>VLOOKUP(B36,$B$6:$I$24,8)</f>
        <v>1</v>
      </c>
      <c r="B35" s="236">
        <f>VLOOKUP(B36,$B$6:$F$24,1)</f>
        <v>38310</v>
      </c>
      <c r="C35" s="70"/>
      <c r="D35" s="250">
        <f>VLOOKUP(A35,$A$6:$D$24,4)</f>
        <v>1.0166666666666666</v>
      </c>
      <c r="E35" s="70"/>
      <c r="F35" s="140">
        <f>VLOOKUP(B35,$B$6:$F$24,5)</f>
        <v>0.97671431675984799</v>
      </c>
      <c r="G35" s="70"/>
      <c r="H35" s="70"/>
    </row>
    <row r="36" spans="1:12">
      <c r="A36" s="140"/>
      <c r="B36" s="240">
        <f>EDATE($B$32,6*C36)+IF(WEEKDAY(EDATE($B$32,6*C36))=7,2,IF(WEEKDAY(EDATE($B$32,6*C36))=1,1,0))</f>
        <v>38310</v>
      </c>
      <c r="C36" s="70">
        <f>C32+1</f>
        <v>1</v>
      </c>
      <c r="D36" s="234" t="s">
        <v>226</v>
      </c>
      <c r="E36" s="70">
        <f>(B37-B36)/(B37-B35)</f>
        <v>1</v>
      </c>
      <c r="F36" s="231">
        <f>EXP((B36-$B$6)*(E36/(B35-$B$6)*LN(F35)+(1-E36)/(B37-$B$6)*LN(F37)))</f>
        <v>0.97671431675984799</v>
      </c>
      <c r="G36" s="70"/>
      <c r="H36" s="70"/>
    </row>
    <row r="37" spans="1:12">
      <c r="A37" s="140">
        <f>IF(A35&gt;=1,A35+1,IF(A35&lt;1/12,1/12,IF(A35&lt;3/12,1/4,IF(A35&lt;0.5,0.5,IF(A35&lt;1,1,"Fehler")))))</f>
        <v>2</v>
      </c>
      <c r="B37" s="236">
        <f>VLOOKUP(A37,$A$6:$B$24,2)</f>
        <v>38677</v>
      </c>
      <c r="C37" s="70"/>
      <c r="D37" s="250">
        <f>VLOOKUP(A37,$A$6:$D$24,4)</f>
        <v>2.0055555555555555</v>
      </c>
      <c r="E37" s="70"/>
      <c r="F37" s="140">
        <f>VLOOKUP(B37,$B$6:$F$24,5)</f>
        <v>0.94564141779671684</v>
      </c>
      <c r="G37" s="70"/>
      <c r="H37" s="70"/>
    </row>
    <row r="38" spans="1:12">
      <c r="F38" s="70"/>
      <c r="G38" s="70"/>
      <c r="H38" s="70"/>
    </row>
    <row r="39" spans="1:12">
      <c r="A39" s="140">
        <f>VLOOKUP(B40,$B$6:$I$24,8)</f>
        <v>1</v>
      </c>
      <c r="B39" s="236">
        <f>VLOOKUP(B40,$B$6:$F$24,1)</f>
        <v>38310</v>
      </c>
      <c r="C39" s="70"/>
      <c r="D39" s="250">
        <f>VLOOKUP(A39,$A$6:$D$24,4)</f>
        <v>1.0166666666666666</v>
      </c>
      <c r="E39" s="70"/>
      <c r="F39" s="140">
        <f>VLOOKUP(B39,$B$6:$F$24,5)</f>
        <v>0.97671431675984799</v>
      </c>
      <c r="G39" s="70"/>
      <c r="H39" s="70"/>
    </row>
    <row r="40" spans="1:12">
      <c r="A40" s="140"/>
      <c r="B40" s="240">
        <f>EDATE($B$32,6*C40)+IF(WEEKDAY(EDATE($B$32,6*C40))=7,2,IF(WEEKDAY(EDATE($B$32,6*C40))=1,1,0))</f>
        <v>38491</v>
      </c>
      <c r="C40" s="70">
        <f>C36+1</f>
        <v>2</v>
      </c>
      <c r="D40" s="234" t="s">
        <v>226</v>
      </c>
      <c r="E40" s="70">
        <f>(B41-B40)/(B41-B39)</f>
        <v>0.50681198910081748</v>
      </c>
      <c r="F40" s="231">
        <f>EXP((B40-$B$6)*(E40/(B39-$B$6)*LN(F39)+(1-E40)/(B41-$B$6)*LN(F41)))</f>
        <v>0.96231179094021346</v>
      </c>
      <c r="G40" s="70"/>
      <c r="H40" s="70"/>
    </row>
    <row r="41" spans="1:12">
      <c r="A41" s="140">
        <f>IF(A39&gt;=1,A39+1,IF(A39&lt;1/12,1/12,IF(A39&lt;3/12,1/4,IF(A39&lt;0.5,0.5,IF(A39&lt;1,1,"Fehler")))))</f>
        <v>2</v>
      </c>
      <c r="B41" s="236">
        <f>VLOOKUP(A41,$A$6:$B$24,2)</f>
        <v>38677</v>
      </c>
      <c r="C41" s="70"/>
      <c r="D41" s="250">
        <f>VLOOKUP(A41,$A$6:$D$24,4)</f>
        <v>2.0055555555555555</v>
      </c>
      <c r="E41" s="70"/>
      <c r="F41" s="140">
        <f>VLOOKUP(B41,$B$6:$F$24,5)</f>
        <v>0.94564141779671684</v>
      </c>
      <c r="G41" s="70"/>
      <c r="H41" s="70"/>
    </row>
    <row r="42" spans="1:12">
      <c r="F42" s="70"/>
      <c r="G42" s="70"/>
      <c r="H42" s="70"/>
    </row>
    <row r="43" spans="1:12">
      <c r="A43" s="140">
        <f>VLOOKUP(B44,$B$6:$I$24,8)</f>
        <v>2</v>
      </c>
      <c r="B43" s="236">
        <f>VLOOKUP(B44,$B$6:$F$24,1)</f>
        <v>38677</v>
      </c>
      <c r="C43" s="70"/>
      <c r="D43" s="250">
        <f>VLOOKUP(A43,$A$6:$D$24,4)</f>
        <v>2.0055555555555555</v>
      </c>
      <c r="E43" s="70"/>
      <c r="F43" s="140">
        <f>VLOOKUP(B43,$B$6:$F$24,5)</f>
        <v>0.94564141779671684</v>
      </c>
      <c r="G43" s="70"/>
      <c r="H43" s="70"/>
    </row>
    <row r="44" spans="1:12">
      <c r="A44" s="140"/>
      <c r="B44" s="240">
        <f>EDATE($B$32,6*C44)+IF(WEEKDAY(EDATE($B$32,6*C44))=7,2,IF(WEEKDAY(EDATE($B$32,6*C44))=1,1,0))</f>
        <v>38677</v>
      </c>
      <c r="C44" s="70">
        <f>C40+1</f>
        <v>3</v>
      </c>
      <c r="D44" s="234" t="s">
        <v>226</v>
      </c>
      <c r="E44" s="70">
        <f>(B45-B44)/(B45-B43)</f>
        <v>1</v>
      </c>
      <c r="F44" s="231">
        <f>EXP((B44-$B$6)*(E44/(B43-$B$6)*LN(F43)+(1-E44)/(B45-$B$6)*LN(F45)))</f>
        <v>0.94564141779671684</v>
      </c>
      <c r="G44" s="70"/>
      <c r="H44" s="70"/>
    </row>
    <row r="45" spans="1:12">
      <c r="A45" s="140">
        <f>IF(A43&gt;=1,A43+1,IF(A43&lt;1/12,1/12,IF(A43&lt;3/12,1/4,IF(A43&lt;0.5,0.5,IF(A43&lt;1,1,"Fehler")))))</f>
        <v>3</v>
      </c>
      <c r="B45" s="236">
        <f>VLOOKUP(A45,$A$6:$B$24,2)</f>
        <v>39041</v>
      </c>
      <c r="C45" s="70"/>
      <c r="D45" s="250">
        <f>VLOOKUP(A45,$A$6:$D$24,4)</f>
        <v>3.0027777777777778</v>
      </c>
      <c r="E45" s="70"/>
      <c r="F45" s="140">
        <f>VLOOKUP(B45,$B$6:$F$24,5)</f>
        <v>0.90957443724748621</v>
      </c>
      <c r="G45" s="70"/>
      <c r="H45" s="70"/>
    </row>
    <row r="46" spans="1:12">
      <c r="F46" s="70"/>
      <c r="G46" s="70"/>
      <c r="H46" s="70"/>
    </row>
    <row r="47" spans="1:12">
      <c r="A47" s="140">
        <f>VLOOKUP(B48,$B$6:$I$24,8)</f>
        <v>2</v>
      </c>
      <c r="B47" s="236">
        <f>VLOOKUP(B48,$B$6:$F$24,1)</f>
        <v>38677</v>
      </c>
      <c r="C47" s="70"/>
      <c r="D47" s="250">
        <f>VLOOKUP(A47,$A$6:$D$24,4)</f>
        <v>2.0055555555555555</v>
      </c>
      <c r="E47" s="70"/>
      <c r="F47" s="140">
        <f>VLOOKUP(B47,$B$6:$F$24,5)</f>
        <v>0.94564141779671684</v>
      </c>
      <c r="G47" s="70"/>
      <c r="H47" s="70"/>
    </row>
    <row r="48" spans="1:12">
      <c r="A48" s="140"/>
      <c r="B48" s="240">
        <f>EDATE($B$32,6*C48)+IF(WEEKDAY(EDATE($B$32,6*C48))=7,2,IF(WEEKDAY(EDATE($B$32,6*C48))=1,1,0))</f>
        <v>38856</v>
      </c>
      <c r="C48" s="70">
        <f>C44+1</f>
        <v>4</v>
      </c>
      <c r="D48" s="234" t="s">
        <v>226</v>
      </c>
      <c r="E48" s="70">
        <f>(B49-B48)/(B49-B47)</f>
        <v>0.50824175824175821</v>
      </c>
      <c r="F48" s="231">
        <f>EXP((B48-$B$6)*(E48/(B47-$B$6)*LN(F47)+(1-E48)/(B49-$B$6)*LN(F49)))</f>
        <v>0.92858671363180334</v>
      </c>
      <c r="G48" s="70"/>
      <c r="H48" s="70"/>
    </row>
    <row r="49" spans="1:8">
      <c r="A49" s="140">
        <f>IF(A47&gt;=1,A47+1,IF(A47&lt;1/12,1/12,IF(A47&lt;3/12,1/4,IF(A47&lt;0.5,0.5,IF(A47&lt;1,1,"Fehler")))))</f>
        <v>3</v>
      </c>
      <c r="B49" s="236">
        <f>VLOOKUP(A49,$A$6:$B$24,2)</f>
        <v>39041</v>
      </c>
      <c r="C49" s="70"/>
      <c r="D49" s="250">
        <f>VLOOKUP(A49,$A$6:$D$24,4)</f>
        <v>3.0027777777777778</v>
      </c>
      <c r="E49" s="70"/>
      <c r="F49" s="140">
        <f>VLOOKUP(B49,$B$6:$F$24,5)</f>
        <v>0.90957443724748621</v>
      </c>
      <c r="G49" s="70"/>
      <c r="H49" s="70"/>
    </row>
    <row r="50" spans="1:8">
      <c r="F50" s="70"/>
      <c r="G50" s="70"/>
      <c r="H50" s="70"/>
    </row>
    <row r="51" spans="1:8">
      <c r="A51" s="140">
        <f>VLOOKUP(B52,$B$6:$I$24,8)</f>
        <v>3</v>
      </c>
      <c r="B51" s="236">
        <f>VLOOKUP(B52,$B$6:$F$24,1)</f>
        <v>39041</v>
      </c>
      <c r="C51" s="70"/>
      <c r="D51" s="250">
        <f>VLOOKUP(A51,$A$6:$D$24,4)</f>
        <v>3.0027777777777778</v>
      </c>
      <c r="E51" s="70"/>
      <c r="F51" s="140">
        <f>VLOOKUP(B51,$B$6:$F$24,5)</f>
        <v>0.90957443724748621</v>
      </c>
      <c r="G51" s="70"/>
      <c r="H51" s="70"/>
    </row>
    <row r="52" spans="1:8">
      <c r="A52" s="140"/>
      <c r="B52" s="240">
        <f>EDATE($B$32,6*C52)+IF(WEEKDAY(EDATE($B$32,6*C52))=7,2,IF(WEEKDAY(EDATE($B$32,6*C52))=1,1,0))</f>
        <v>39041</v>
      </c>
      <c r="C52" s="70">
        <f>C48+1</f>
        <v>5</v>
      </c>
      <c r="D52" s="234" t="s">
        <v>226</v>
      </c>
      <c r="E52" s="70">
        <f>(B53-B52)/(B53-B51)</f>
        <v>1</v>
      </c>
      <c r="F52" s="231">
        <f>EXP((B52-$B$6)*(E52/(B51-$B$6)*LN(F51)+(1-E52)/(B53-$B$6)*LN(F53)))</f>
        <v>0.90957443724748621</v>
      </c>
      <c r="G52" s="70"/>
      <c r="H52" s="70"/>
    </row>
    <row r="53" spans="1:8">
      <c r="A53" s="140">
        <f>IF(A51&gt;=1,A51+1,IF(A51&lt;1/12,1/12,IF(A51&lt;3/12,1/4,IF(A51&lt;0.5,0.5,IF(A51&lt;1,1,"Fehler")))))</f>
        <v>4</v>
      </c>
      <c r="B53" s="236">
        <f>VLOOKUP(A53,$A$6:$B$24,2)</f>
        <v>39405</v>
      </c>
      <c r="C53" s="70"/>
      <c r="D53" s="250">
        <f>VLOOKUP(A53,$A$6:$D$24,4)</f>
        <v>4</v>
      </c>
      <c r="E53" s="70"/>
      <c r="F53" s="140">
        <f>VLOOKUP(B53,$B$6:$F$24,5)</f>
        <v>0.87076517699785494</v>
      </c>
      <c r="G53" s="70"/>
      <c r="H53" s="70"/>
    </row>
    <row r="54" spans="1:8">
      <c r="F54" s="70"/>
      <c r="G54" s="70"/>
      <c r="H54" s="70"/>
    </row>
    <row r="55" spans="1:8">
      <c r="A55" s="140">
        <f>VLOOKUP(B56,$B$6:$I$24,8)</f>
        <v>3</v>
      </c>
      <c r="B55" s="236">
        <f>VLOOKUP(B56,$B$6:$F$24,1)</f>
        <v>39041</v>
      </c>
      <c r="C55" s="70"/>
      <c r="D55" s="250">
        <f>VLOOKUP(A55,$A$6:$D$24,4)</f>
        <v>3.0027777777777778</v>
      </c>
      <c r="E55" s="70"/>
      <c r="F55" s="140">
        <f>VLOOKUP(B55,$B$6:$F$24,5)</f>
        <v>0.90957443724748621</v>
      </c>
      <c r="G55" s="70"/>
      <c r="H55" s="70"/>
    </row>
    <row r="56" spans="1:8">
      <c r="A56" s="140"/>
      <c r="B56" s="240">
        <f>EDATE($B$32,6*C56)+IF(WEEKDAY(EDATE($B$32,6*C56))=7,2,IF(WEEKDAY(EDATE($B$32,6*C56))=1,1,0))</f>
        <v>39223</v>
      </c>
      <c r="C56" s="70">
        <f>C52+1</f>
        <v>6</v>
      </c>
      <c r="D56" s="234" t="s">
        <v>226</v>
      </c>
      <c r="E56" s="70">
        <f>(B57-B56)/(B57-B55)</f>
        <v>0.5</v>
      </c>
      <c r="F56" s="231">
        <f>EXP((B56-$B$6)*(E56/(B55-$B$6)*LN(F55)+(1-E56)/(B57-$B$6)*LN(F57)))</f>
        <v>0.89063235259360896</v>
      </c>
      <c r="G56" s="70"/>
      <c r="H56" s="70"/>
    </row>
    <row r="57" spans="1:8">
      <c r="A57" s="140">
        <f>IF(A55&gt;=1,A55+1,IF(A55&lt;1/12,1/12,IF(A55&lt;3/12,1/4,IF(A55&lt;0.5,0.5,IF(A55&lt;1,1,"Fehler")))))</f>
        <v>4</v>
      </c>
      <c r="B57" s="236">
        <f>VLOOKUP(A57,$A$6:$B$24,2)</f>
        <v>39405</v>
      </c>
      <c r="C57" s="70"/>
      <c r="D57" s="250">
        <f>VLOOKUP(A57,$A$6:$D$24,4)</f>
        <v>4</v>
      </c>
      <c r="E57" s="70"/>
      <c r="F57" s="140">
        <f>VLOOKUP(B57,$B$6:$F$24,5)</f>
        <v>0.87076517699785494</v>
      </c>
      <c r="G57" s="70"/>
      <c r="H57" s="70"/>
    </row>
    <row r="58" spans="1:8">
      <c r="F58" s="70"/>
      <c r="G58" s="70"/>
      <c r="H58" s="70"/>
    </row>
    <row r="59" spans="1:8">
      <c r="A59" s="140">
        <f>VLOOKUP(B60,$B$6:$I$24,8)</f>
        <v>4</v>
      </c>
      <c r="B59" s="236">
        <f>VLOOKUP(B60,$B$6:$F$24,1)</f>
        <v>39405</v>
      </c>
      <c r="C59" s="70"/>
      <c r="D59" s="250">
        <f>VLOOKUP(A59,$A$6:$D$24,4)</f>
        <v>4</v>
      </c>
      <c r="E59" s="70"/>
      <c r="F59" s="140">
        <f>VLOOKUP(B59,$B$6:$F$24,5)</f>
        <v>0.87076517699785494</v>
      </c>
      <c r="G59" s="70"/>
      <c r="H59" s="70"/>
    </row>
    <row r="60" spans="1:8">
      <c r="A60" s="140"/>
      <c r="B60" s="240">
        <f>EDATE($B$32,6*C60)+IF(WEEKDAY(EDATE($B$32,6*C60))=7,2,IF(WEEKDAY(EDATE($B$32,6*C60))=1,1,0))</f>
        <v>39405</v>
      </c>
      <c r="C60" s="70">
        <f>C56+1</f>
        <v>7</v>
      </c>
      <c r="D60" s="234" t="s">
        <v>226</v>
      </c>
      <c r="E60" s="70">
        <f>(B61-B60)/(B61-B59)</f>
        <v>1</v>
      </c>
      <c r="F60" s="231">
        <f>EXP((B60-$B$6)*(E60/(B59-$B$6)*LN(F59)+(1-E60)/(B61-$B$6)*LN(F61)))</f>
        <v>0.87076517699785494</v>
      </c>
      <c r="G60" s="70"/>
      <c r="H60" s="70"/>
    </row>
    <row r="61" spans="1:8">
      <c r="A61" s="140">
        <f>IF(A59&gt;=1,A59+1,IF(A59&lt;1/12,1/12,IF(A59&lt;3/12,1/4,IF(A59&lt;0.5,0.5,IF(A59&lt;1,1,"Fehler")))))</f>
        <v>5</v>
      </c>
      <c r="B61" s="236">
        <f>VLOOKUP(A61,$A$6:$B$24,2)</f>
        <v>39771</v>
      </c>
      <c r="C61" s="70"/>
      <c r="D61" s="250">
        <f>VLOOKUP(A61,$A$6:$D$24,4)</f>
        <v>5</v>
      </c>
      <c r="E61" s="70"/>
      <c r="F61" s="140">
        <f>VLOOKUP(B61,$B$6:$F$24,5)</f>
        <v>0.83132305138034768</v>
      </c>
      <c r="G61" s="70"/>
      <c r="H61" s="70"/>
    </row>
    <row r="62" spans="1:8">
      <c r="F62" s="70"/>
      <c r="G62" s="70"/>
      <c r="H62" s="70"/>
    </row>
    <row r="63" spans="1:8">
      <c r="A63" s="140">
        <f>VLOOKUP(B64,$B$6:$I$24,8)</f>
        <v>4</v>
      </c>
      <c r="B63" s="236">
        <f>VLOOKUP(B64,$B$6:$F$24,1)</f>
        <v>39405</v>
      </c>
      <c r="C63" s="70"/>
      <c r="D63" s="250">
        <f>VLOOKUP(A63,$A$6:$D$24,4)</f>
        <v>4</v>
      </c>
      <c r="E63" s="70"/>
      <c r="F63" s="140">
        <f>VLOOKUP(B63,$B$6:$F$24,5)</f>
        <v>0.87076517699785494</v>
      </c>
      <c r="G63" s="70"/>
      <c r="H63" s="70"/>
    </row>
    <row r="64" spans="1:8">
      <c r="A64" s="140"/>
      <c r="B64" s="240">
        <f>EDATE($B$32,6*C64)+IF(WEEKDAY(EDATE($B$32,6*C64))=7,2,IF(WEEKDAY(EDATE($B$32,6*C64))=1,1,0))</f>
        <v>39587</v>
      </c>
      <c r="C64" s="70">
        <f>C60+1</f>
        <v>8</v>
      </c>
      <c r="D64" s="234" t="s">
        <v>226</v>
      </c>
      <c r="E64" s="70">
        <f>(B65-B64)/(B65-B63)</f>
        <v>0.50273224043715847</v>
      </c>
      <c r="F64" s="231">
        <f>EXP((B64-$B$6)*(E64/(B63-$B$6)*LN(F63)+(1-E64)/(B65-$B$6)*LN(F65)))</f>
        <v>0.85142153860992464</v>
      </c>
      <c r="G64" s="70"/>
      <c r="H64" s="70"/>
    </row>
    <row r="65" spans="1:8">
      <c r="A65" s="140">
        <f>IF(A63&gt;=1,A63+1,IF(A63&lt;1/12,1/12,IF(A63&lt;3/12,1/4,IF(A63&lt;0.5,0.5,IF(A63&lt;1,1,"Fehler")))))</f>
        <v>5</v>
      </c>
      <c r="B65" s="236">
        <f>VLOOKUP(A65,$A$6:$B$24,2)</f>
        <v>39771</v>
      </c>
      <c r="C65" s="70"/>
      <c r="D65" s="250">
        <f>VLOOKUP(A65,$A$6:$D$24,4)</f>
        <v>5</v>
      </c>
      <c r="E65" s="70"/>
      <c r="F65" s="140">
        <f>VLOOKUP(B65,$B$6:$F$24,5)</f>
        <v>0.83132305138034768</v>
      </c>
      <c r="G65" s="70"/>
      <c r="H65" s="70"/>
    </row>
    <row r="66" spans="1:8">
      <c r="F66" s="70"/>
      <c r="G66" s="70"/>
      <c r="H66" s="70"/>
    </row>
    <row r="67" spans="1:8">
      <c r="A67" s="140">
        <f>VLOOKUP(B68,$B$6:$I$24,8)</f>
        <v>5</v>
      </c>
      <c r="B67" s="236">
        <f>VLOOKUP(B68,$B$6:$F$24,1)</f>
        <v>39771</v>
      </c>
      <c r="C67" s="70"/>
      <c r="D67" s="250">
        <f>VLOOKUP(A67,$A$6:$D$24,4)</f>
        <v>5</v>
      </c>
      <c r="E67" s="70"/>
      <c r="F67" s="140">
        <f>VLOOKUP(B67,$B$6:$F$24,5)</f>
        <v>0.83132305138034768</v>
      </c>
      <c r="G67" s="70"/>
      <c r="H67" s="70"/>
    </row>
    <row r="68" spans="1:8">
      <c r="A68" s="140"/>
      <c r="B68" s="240">
        <f>EDATE($B$32,6*C68)+IF(WEEKDAY(EDATE($B$32,6*C68))=7,2,IF(WEEKDAY(EDATE($B$32,6*C68))=1,1,0))</f>
        <v>39771</v>
      </c>
      <c r="C68" s="70">
        <f>C64+1</f>
        <v>9</v>
      </c>
      <c r="D68" s="234" t="s">
        <v>226</v>
      </c>
      <c r="E68" s="70">
        <f>(B69-B68)/(B69-B67)</f>
        <v>1</v>
      </c>
      <c r="F68" s="231">
        <f>EXP((B68-$B$6)*(E68/(B67-$B$6)*LN(F67)+(1-E68)/(B69-$B$6)*LN(F69)))</f>
        <v>0.83132305138034768</v>
      </c>
      <c r="G68" s="70"/>
      <c r="H68" s="70"/>
    </row>
    <row r="69" spans="1:8">
      <c r="A69" s="140">
        <f>IF(A67&gt;=1,A67+1,IF(A67&lt;1/12,1/12,IF(A67&lt;3/12,1/4,IF(A67&lt;0.5,0.5,IF(A67&lt;1,1,"Fehler")))))</f>
        <v>6</v>
      </c>
      <c r="B69" s="236">
        <f>VLOOKUP(A69,$A$6:$B$24,2)</f>
        <v>40136</v>
      </c>
      <c r="C69" s="70"/>
      <c r="D69" s="250">
        <f>VLOOKUP(A69,$A$6:$D$24,4)</f>
        <v>6</v>
      </c>
      <c r="E69" s="70"/>
      <c r="F69" s="140">
        <f>VLOOKUP(B69,$B$6:$F$24,5)</f>
        <v>0.79123787358425079</v>
      </c>
      <c r="G69" s="70"/>
      <c r="H69" s="70"/>
    </row>
    <row r="70" spans="1:8">
      <c r="F70" s="70"/>
      <c r="G70" s="70"/>
      <c r="H70" s="70"/>
    </row>
    <row r="71" spans="1:8">
      <c r="A71" s="140">
        <f>VLOOKUP(B72,$B$6:$I$24,8)</f>
        <v>5</v>
      </c>
      <c r="B71" s="236">
        <f>VLOOKUP(B72,$B$6:$F$24,1)</f>
        <v>39771</v>
      </c>
      <c r="C71" s="70"/>
      <c r="D71" s="250">
        <f>VLOOKUP(A71,$A$6:$D$24,4)</f>
        <v>5</v>
      </c>
      <c r="E71" s="70"/>
      <c r="F71" s="140">
        <f>VLOOKUP(B71,$B$6:$F$24,5)</f>
        <v>0.83132305138034768</v>
      </c>
      <c r="G71" s="70"/>
      <c r="H71" s="70"/>
    </row>
    <row r="72" spans="1:8">
      <c r="A72" s="140"/>
      <c r="B72" s="240">
        <f>EDATE($B$32,6*C72)+IF(WEEKDAY(EDATE($B$32,6*C72))=7,2,IF(WEEKDAY(EDATE($B$32,6*C72))=1,1,0))</f>
        <v>39952</v>
      </c>
      <c r="C72" s="70">
        <f>C68+1</f>
        <v>10</v>
      </c>
      <c r="D72" s="234" t="s">
        <v>226</v>
      </c>
      <c r="E72" s="70">
        <f>(B73-B72)/(B73-B71)</f>
        <v>0.50410958904109593</v>
      </c>
      <c r="F72" s="231">
        <f>EXP((B72-$B$6)*(E72/(B71-$B$6)*LN(F71)+(1-E72)/(B73-$B$6)*LN(F73)))</f>
        <v>0.81162021393835204</v>
      </c>
      <c r="G72" s="70"/>
      <c r="H72" s="70"/>
    </row>
    <row r="73" spans="1:8">
      <c r="A73" s="140">
        <f>IF(A71&gt;=1,A71+1,IF(A71&lt;1/12,1/12,IF(A71&lt;3/12,1/4,IF(A71&lt;0.5,0.5,IF(A71&lt;1,1,"Fehler")))))</f>
        <v>6</v>
      </c>
      <c r="B73" s="236">
        <f>VLOOKUP(A73,$A$6:$B$24,2)</f>
        <v>40136</v>
      </c>
      <c r="C73" s="70"/>
      <c r="D73" s="250">
        <f>VLOOKUP(A73,$A$6:$D$24,4)</f>
        <v>6</v>
      </c>
      <c r="E73" s="70"/>
      <c r="F73" s="140">
        <f>VLOOKUP(B73,$B$6:$F$24,5)</f>
        <v>0.79123787358425079</v>
      </c>
      <c r="G73" s="70"/>
      <c r="H73" s="70"/>
    </row>
    <row r="74" spans="1:8">
      <c r="F74" s="70"/>
      <c r="G74" s="70"/>
      <c r="H74" s="70"/>
    </row>
    <row r="75" spans="1:8">
      <c r="A75" s="140">
        <f>VLOOKUP(B76,$B$6:$I$24,8)</f>
        <v>6</v>
      </c>
      <c r="B75" s="236">
        <f>VLOOKUP(B76,$B$6:$F$24,1)</f>
        <v>40136</v>
      </c>
      <c r="C75" s="70"/>
      <c r="D75" s="250">
        <f>VLOOKUP(A75,$A$6:$D$24,4)</f>
        <v>6</v>
      </c>
      <c r="E75" s="70"/>
      <c r="F75" s="140">
        <f>VLOOKUP(B75,$B$6:$F$24,5)</f>
        <v>0.79123787358425079</v>
      </c>
      <c r="G75" s="70"/>
      <c r="H75" s="70"/>
    </row>
    <row r="76" spans="1:8">
      <c r="A76" s="140"/>
      <c r="B76" s="240">
        <f>EDATE($B$32,6*C76)+IF(WEEKDAY(EDATE($B$32,6*C76))=7,2,IF(WEEKDAY(EDATE($B$32,6*C76))=1,1,0))</f>
        <v>40136</v>
      </c>
      <c r="C76" s="70">
        <f>C72+1</f>
        <v>11</v>
      </c>
      <c r="D76" s="234" t="s">
        <v>226</v>
      </c>
      <c r="E76" s="70">
        <f>(B77-B76)/(B77-B75)</f>
        <v>1</v>
      </c>
      <c r="F76" s="231">
        <f>EXP((B76-$B$6)*(E76/(B75-$B$6)*LN(F75)+(1-E76)/(B77-$B$6)*LN(F77)))</f>
        <v>0.79123787358425079</v>
      </c>
      <c r="G76" s="70"/>
      <c r="H76" s="70"/>
    </row>
    <row r="77" spans="1:8">
      <c r="A77" s="140">
        <f>IF(A75&gt;=1,A75+1,IF(A75&lt;1/12,1/12,IF(A75&lt;3/12,1/4,IF(A75&lt;0.5,0.5,IF(A75&lt;1,1,"Fehler")))))</f>
        <v>7</v>
      </c>
      <c r="B77" s="236">
        <f>VLOOKUP(A77,$A$6:$B$24,2)</f>
        <v>40501</v>
      </c>
      <c r="C77" s="70"/>
      <c r="D77" s="250">
        <f>VLOOKUP(A77,$A$6:$D$24,4)</f>
        <v>7</v>
      </c>
      <c r="E77" s="70"/>
      <c r="F77" s="140">
        <f>VLOOKUP(B77,$B$6:$F$24,5)</f>
        <v>0.75203398392125342</v>
      </c>
      <c r="G77" s="70"/>
      <c r="H77" s="70"/>
    </row>
    <row r="78" spans="1:8">
      <c r="F78" s="70"/>
      <c r="G78" s="70"/>
      <c r="H78" s="70"/>
    </row>
    <row r="79" spans="1:8">
      <c r="A79" s="140">
        <f>VLOOKUP(B80,$B$6:$I$24,8)</f>
        <v>6</v>
      </c>
      <c r="B79" s="236">
        <f>VLOOKUP(B80,$B$6:$F$24,1)</f>
        <v>40136</v>
      </c>
      <c r="C79" s="70"/>
      <c r="D79" s="250">
        <f>VLOOKUP(A79,$A$6:$D$24,4)</f>
        <v>6</v>
      </c>
      <c r="E79" s="70"/>
      <c r="F79" s="140">
        <f>VLOOKUP(B79,$B$6:$F$24,5)</f>
        <v>0.79123787358425079</v>
      </c>
      <c r="G79" s="70"/>
      <c r="H79" s="70"/>
    </row>
    <row r="80" spans="1:8">
      <c r="A80" s="140"/>
      <c r="B80" s="240">
        <f>EDATE($B$32,6*C80)+IF(WEEKDAY(EDATE($B$32,6*C80))=7,2,IF(WEEKDAY(EDATE($B$32,6*C80))=1,1,0))</f>
        <v>40317</v>
      </c>
      <c r="C80" s="70">
        <f>C76+1</f>
        <v>12</v>
      </c>
      <c r="D80" s="234" t="s">
        <v>226</v>
      </c>
      <c r="E80" s="70">
        <f>(B81-B80)/(B81-B79)</f>
        <v>0.50410958904109593</v>
      </c>
      <c r="F80" s="231">
        <f>EXP((B80-$B$6)*(E80/(B79-$B$6)*LN(F79)+(1-E80)/(B81-$B$6)*LN(F81)))</f>
        <v>0.7718737030156908</v>
      </c>
      <c r="G80" s="70"/>
      <c r="H80" s="70"/>
    </row>
    <row r="81" spans="1:8">
      <c r="A81" s="140">
        <f>IF(A79&gt;=1,A79+1,IF(A79&lt;1/12,1/12,IF(A79&lt;3/12,1/4,IF(A79&lt;0.5,0.5,IF(A79&lt;1,1,"Fehler")))))</f>
        <v>7</v>
      </c>
      <c r="B81" s="236">
        <f>VLOOKUP(A81,$A$6:$B$24,2)</f>
        <v>40501</v>
      </c>
      <c r="C81" s="70"/>
      <c r="D81" s="250">
        <f>VLOOKUP(A81,$A$6:$D$24,4)</f>
        <v>7</v>
      </c>
      <c r="E81" s="70"/>
      <c r="F81" s="140">
        <f>VLOOKUP(B81,$B$6:$F$24,5)</f>
        <v>0.75203398392125342</v>
      </c>
      <c r="G81" s="70"/>
      <c r="H81" s="70"/>
    </row>
    <row r="82" spans="1:8">
      <c r="F82" s="70"/>
      <c r="G82" s="70"/>
      <c r="H82" s="70"/>
    </row>
    <row r="83" spans="1:8">
      <c r="A83" s="140">
        <f>VLOOKUP(B84,$B$6:$I$24,8)</f>
        <v>7</v>
      </c>
      <c r="B83" s="236">
        <f>VLOOKUP(B84,$B$6:$F$24,1)</f>
        <v>40501</v>
      </c>
      <c r="C83" s="70"/>
      <c r="D83" s="250">
        <f>VLOOKUP(A83,$A$6:$D$24,4)</f>
        <v>7</v>
      </c>
      <c r="E83" s="70"/>
      <c r="F83" s="140">
        <f>VLOOKUP(B83,$B$6:$F$24,5)</f>
        <v>0.75203398392125342</v>
      </c>
      <c r="G83" s="70"/>
      <c r="H83" s="70"/>
    </row>
    <row r="84" spans="1:8">
      <c r="A84" s="140"/>
      <c r="B84" s="240">
        <f>EDATE($B$32,6*C84)+IF(WEEKDAY(EDATE($B$32,6*C84))=7,2,IF(WEEKDAY(EDATE($B$32,6*C84))=1,1,0))</f>
        <v>40501</v>
      </c>
      <c r="C84" s="70">
        <f>C80+1</f>
        <v>13</v>
      </c>
      <c r="D84" s="234" t="s">
        <v>226</v>
      </c>
      <c r="E84" s="70">
        <f>(B85-B84)/(B85-B83)</f>
        <v>1</v>
      </c>
      <c r="F84" s="231">
        <f>EXP((B84-$B$6)*(E84/(B83-$B$6)*LN(F83)+(1-E84)/(B85-$B$6)*LN(F85)))</f>
        <v>0.75203398392125342</v>
      </c>
      <c r="G84" s="70"/>
      <c r="H84" s="70"/>
    </row>
    <row r="85" spans="1:8">
      <c r="A85" s="140">
        <f>IF(A83&gt;=1,A83+1,IF(A83&lt;1/12,1/12,IF(A83&lt;3/12,1/4,IF(A83&lt;0.5,0.5,IF(A83&lt;1,1,"Fehler")))))</f>
        <v>8</v>
      </c>
      <c r="B85" s="236">
        <f>VLOOKUP(A85,$A$6:$B$24,2)</f>
        <v>40868</v>
      </c>
      <c r="C85" s="70"/>
      <c r="D85" s="250">
        <f>VLOOKUP(A85,$A$6:$D$24,4)</f>
        <v>8.0055555555555564</v>
      </c>
      <c r="E85" s="70"/>
      <c r="F85" s="140">
        <f>VLOOKUP(B85,$B$6:$F$24,5)</f>
        <v>0.71325861312159966</v>
      </c>
      <c r="G85" s="70"/>
      <c r="H85" s="70"/>
    </row>
    <row r="86" spans="1:8">
      <c r="F86" s="70"/>
      <c r="G86" s="70"/>
      <c r="H86" s="70"/>
    </row>
    <row r="87" spans="1:8">
      <c r="A87" s="140">
        <f>VLOOKUP(B88,$B$6:$I$24,8)</f>
        <v>7</v>
      </c>
      <c r="B87" s="236">
        <f>VLOOKUP(B88,$B$6:$F$24,1)</f>
        <v>40501</v>
      </c>
      <c r="C87" s="70"/>
      <c r="D87" s="250">
        <f>VLOOKUP(A87,$A$6:$D$24,4)</f>
        <v>7</v>
      </c>
      <c r="E87" s="70"/>
      <c r="F87" s="140">
        <f>VLOOKUP(B87,$B$6:$F$24,5)</f>
        <v>0.75203398392125342</v>
      </c>
      <c r="G87" s="70"/>
      <c r="H87" s="70"/>
    </row>
    <row r="88" spans="1:8">
      <c r="A88" s="140"/>
      <c r="B88" s="240">
        <f>EDATE($B$32,6*C88)+IF(WEEKDAY(EDATE($B$32,6*C88))=7,2,IF(WEEKDAY(EDATE($B$32,6*C88))=1,1,0))</f>
        <v>40682</v>
      </c>
      <c r="C88" s="70">
        <f>C84+1</f>
        <v>14</v>
      </c>
      <c r="D88" s="234" t="s">
        <v>226</v>
      </c>
      <c r="E88" s="70">
        <f>(B89-B88)/(B89-B87)</f>
        <v>0.50681198910081748</v>
      </c>
      <c r="F88" s="231">
        <f>EXP((B88-$B$6)*(E88/(B87-$B$6)*LN(F87)+(1-E88)/(B89-$B$6)*LN(F89)))</f>
        <v>0.73293058197955652</v>
      </c>
      <c r="G88" s="70"/>
      <c r="H88" s="70"/>
    </row>
    <row r="89" spans="1:8">
      <c r="A89" s="140">
        <f>IF(A87&gt;=1,A87+1,IF(A87&lt;1/12,1/12,IF(A87&lt;3/12,1/4,IF(A87&lt;0.5,0.5,IF(A87&lt;1,1,"Fehler")))))</f>
        <v>8</v>
      </c>
      <c r="B89" s="236">
        <f>VLOOKUP(A89,$A$6:$B$24,2)</f>
        <v>40868</v>
      </c>
      <c r="C89" s="70"/>
      <c r="D89" s="250">
        <f>VLOOKUP(A89,$A$6:$D$24,4)</f>
        <v>8.0055555555555564</v>
      </c>
      <c r="E89" s="70"/>
      <c r="F89" s="140">
        <f>VLOOKUP(B89,$B$6:$F$24,5)</f>
        <v>0.71325861312159966</v>
      </c>
      <c r="G89" s="70"/>
      <c r="H89" s="70"/>
    </row>
    <row r="90" spans="1:8">
      <c r="F90" s="70"/>
      <c r="G90" s="70"/>
      <c r="H90" s="70"/>
    </row>
    <row r="91" spans="1:8">
      <c r="A91" s="140">
        <f>VLOOKUP(B92,$B$6:$I$24,8)</f>
        <v>8</v>
      </c>
      <c r="B91" s="236">
        <f>VLOOKUP(B92,$B$6:$F$24,1)</f>
        <v>40868</v>
      </c>
      <c r="C91" s="70"/>
      <c r="D91" s="250">
        <f>VLOOKUP(A91,$A$6:$D$24,4)</f>
        <v>8.0055555555555564</v>
      </c>
      <c r="E91" s="70"/>
      <c r="F91" s="140">
        <f>VLOOKUP(B91,$B$6:$F$24,5)</f>
        <v>0.71325861312159966</v>
      </c>
      <c r="G91" s="70"/>
      <c r="H91" s="70"/>
    </row>
    <row r="92" spans="1:8">
      <c r="A92" s="140"/>
      <c r="B92" s="240">
        <f>EDATE($B$32,6*C92)+IF(WEEKDAY(EDATE($B$32,6*C92))=7,2,IF(WEEKDAY(EDATE($B$32,6*C92))=1,1,0))</f>
        <v>40868</v>
      </c>
      <c r="C92" s="70">
        <f>C88+1</f>
        <v>15</v>
      </c>
      <c r="D92" s="234" t="s">
        <v>226</v>
      </c>
      <c r="E92" s="70">
        <f>(B93-B92)/(B93-B91)</f>
        <v>1</v>
      </c>
      <c r="F92" s="231">
        <f>EXP((B92-$B$6)*(E92/(B91-$B$6)*LN(F91)+(1-E92)/(B93-$B$6)*LN(F93)))</f>
        <v>0.71325861312159966</v>
      </c>
      <c r="G92" s="70"/>
      <c r="H92" s="70"/>
    </row>
    <row r="93" spans="1:8">
      <c r="A93" s="140">
        <f>IF(A91&gt;=1,A91+1,IF(A91&lt;1/12,1/12,IF(A91&lt;3/12,1/4,IF(A91&lt;0.5,0.5,IF(A91&lt;1,1,"Fehler")))))</f>
        <v>9</v>
      </c>
      <c r="B93" s="236">
        <f>VLOOKUP(A93,$A$6:$B$24,2)</f>
        <v>41232</v>
      </c>
      <c r="C93" s="70"/>
      <c r="D93" s="250">
        <f>VLOOKUP(A93,$A$6:$D$24,4)</f>
        <v>9</v>
      </c>
      <c r="E93" s="70"/>
      <c r="F93" s="140">
        <f>VLOOKUP(B93,$B$6:$F$24,5)</f>
        <v>0.67664821533140229</v>
      </c>
      <c r="G93" s="70"/>
      <c r="H93" s="70"/>
    </row>
    <row r="94" spans="1:8">
      <c r="F94" s="70"/>
      <c r="G94" s="70"/>
      <c r="H94" s="70"/>
    </row>
    <row r="95" spans="1:8">
      <c r="A95" s="140">
        <f>VLOOKUP(B96,$B$6:$I$24,8)</f>
        <v>8</v>
      </c>
      <c r="B95" s="236">
        <f>VLOOKUP(B96,$B$6:$F$24,1)</f>
        <v>40868</v>
      </c>
      <c r="C95" s="70"/>
      <c r="D95" s="250">
        <f>VLOOKUP(A95,$A$6:$D$24,4)</f>
        <v>8.0055555555555564</v>
      </c>
      <c r="E95" s="70"/>
      <c r="F95" s="140">
        <f>VLOOKUP(B95,$B$6:$F$24,5)</f>
        <v>0.71325861312159966</v>
      </c>
      <c r="G95" s="70"/>
      <c r="H95" s="70"/>
    </row>
    <row r="96" spans="1:8">
      <c r="A96" s="140"/>
      <c r="B96" s="240">
        <f>EDATE($B$32,6*C96)+IF(WEEKDAY(EDATE($B$32,6*C96))=7,2,IF(WEEKDAY(EDATE($B$32,6*C96))=1,1,0))</f>
        <v>41050</v>
      </c>
      <c r="C96" s="70">
        <f>C92+1</f>
        <v>16</v>
      </c>
      <c r="D96" s="234" t="s">
        <v>226</v>
      </c>
      <c r="E96" s="70">
        <f>(B97-B96)/(B97-B95)</f>
        <v>0.5</v>
      </c>
      <c r="F96" s="231">
        <f>EXP((B96-$B$6)*(E96/(B95-$B$6)*LN(F95)+(1-E96)/(B97-$B$6)*LN(F97)))</f>
        <v>0.69491664800708586</v>
      </c>
      <c r="G96" s="70"/>
      <c r="H96" s="70"/>
    </row>
    <row r="97" spans="1:8">
      <c r="A97" s="140">
        <f>IF(A95&gt;=1,A95+1,IF(A95&lt;1/12,1/12,IF(A95&lt;3/12,1/4,IF(A95&lt;0.5,0.5,IF(A95&lt;1,1,"Fehler")))))</f>
        <v>9</v>
      </c>
      <c r="B97" s="236">
        <f>VLOOKUP(A97,$A$6:$B$24,2)</f>
        <v>41232</v>
      </c>
      <c r="C97" s="70"/>
      <c r="D97" s="250">
        <f>VLOOKUP(A97,$A$6:$D$24,4)</f>
        <v>9</v>
      </c>
      <c r="E97" s="70"/>
      <c r="F97" s="140">
        <f>VLOOKUP(B97,$B$6:$F$24,5)</f>
        <v>0.67664821533140229</v>
      </c>
      <c r="G97" s="70"/>
      <c r="H97" s="70"/>
    </row>
    <row r="98" spans="1:8">
      <c r="F98" s="70"/>
      <c r="G98" s="70"/>
      <c r="H98" s="70"/>
    </row>
    <row r="99" spans="1:8">
      <c r="A99" s="140">
        <f>VLOOKUP(B100,$B$6:$I$24,8)</f>
        <v>9</v>
      </c>
      <c r="B99" s="236">
        <f>VLOOKUP(B100,$B$6:$F$24,1)</f>
        <v>41232</v>
      </c>
      <c r="C99" s="70"/>
      <c r="D99" s="250">
        <f>VLOOKUP(A99,$A$6:$D$24,4)</f>
        <v>9</v>
      </c>
      <c r="E99" s="70"/>
      <c r="F99" s="140">
        <f>VLOOKUP(B99,$B$6:$F$24,5)</f>
        <v>0.67664821533140229</v>
      </c>
      <c r="G99" s="70"/>
      <c r="H99" s="70"/>
    </row>
    <row r="100" spans="1:8">
      <c r="A100" s="140"/>
      <c r="B100" s="240">
        <f>EDATE($B$32,6*C100)+IF(WEEKDAY(EDATE($B$32,6*C100))=7,2,IF(WEEKDAY(EDATE($B$32,6*C100))=1,1,0))</f>
        <v>41232</v>
      </c>
      <c r="C100" s="70">
        <f>C96+1</f>
        <v>17</v>
      </c>
      <c r="D100" s="234" t="s">
        <v>226</v>
      </c>
      <c r="E100" s="70">
        <f>(B101-B100)/(B101-B99)</f>
        <v>1</v>
      </c>
      <c r="F100" s="231">
        <f>EXP((B100-$B$6)*(E100/(B99-$B$6)*LN(F99)+(1-E100)/(B101-$B$6)*LN(F101)))</f>
        <v>0.67664821533140229</v>
      </c>
      <c r="G100" s="70"/>
      <c r="H100" s="70"/>
    </row>
    <row r="101" spans="1:8">
      <c r="A101" s="140">
        <f>IF(A99&gt;=1,A99+1,IF(A99&lt;1/12,1/12,IF(A99&lt;3/12,1/4,IF(A99&lt;0.5,0.5,IF(A99&lt;1,1,"Fehler")))))</f>
        <v>10</v>
      </c>
      <c r="B101" s="236">
        <f>VLOOKUP(A101,$A$6:$B$24,2)</f>
        <v>41597</v>
      </c>
      <c r="C101" s="70"/>
      <c r="D101" s="250">
        <f>VLOOKUP(A101,$A$6:$D$24,4)</f>
        <v>10</v>
      </c>
      <c r="E101" s="70"/>
      <c r="F101" s="140">
        <f>VLOOKUP(B101,$B$6:$F$24,5)</f>
        <v>0.64156988847331287</v>
      </c>
      <c r="G101" s="70"/>
      <c r="H101" s="70"/>
    </row>
    <row r="102" spans="1:8">
      <c r="F102" s="70"/>
      <c r="G102" s="70"/>
      <c r="H102" s="70"/>
    </row>
    <row r="103" spans="1:8">
      <c r="A103" s="140">
        <f>VLOOKUP(B104,$B$6:$I$24,8)</f>
        <v>9</v>
      </c>
      <c r="B103" s="236">
        <f>VLOOKUP(B104,$B$6:$F$24,1)</f>
        <v>41232</v>
      </c>
      <c r="C103" s="70"/>
      <c r="D103" s="250">
        <f>VLOOKUP(A103,$A$6:$D$24,4)</f>
        <v>9</v>
      </c>
      <c r="E103" s="70"/>
      <c r="F103" s="140">
        <f>VLOOKUP(B103,$B$6:$F$24,5)</f>
        <v>0.67664821533140229</v>
      </c>
      <c r="G103" s="70"/>
      <c r="H103" s="70"/>
    </row>
    <row r="104" spans="1:8">
      <c r="A104" s="140"/>
      <c r="B104" s="240">
        <f>EDATE($B$32,6*C104)+IF(WEEKDAY(EDATE($B$32,6*C104))=7,2,IF(WEEKDAY(EDATE($B$32,6*C104))=1,1,0))</f>
        <v>41414</v>
      </c>
      <c r="C104" s="70">
        <f>C100+1</f>
        <v>18</v>
      </c>
      <c r="D104" s="234" t="s">
        <v>226</v>
      </c>
      <c r="E104" s="70">
        <f>(B105-B104)/(B105-B103)</f>
        <v>0.50136986301369868</v>
      </c>
      <c r="F104" s="231">
        <f>EXP((B104-$B$6)*(E104/(B103-$B$6)*LN(F103)+(1-E104)/(B105-$B$6)*LN(F105)))</f>
        <v>0.65908621402716638</v>
      </c>
      <c r="G104" s="70"/>
      <c r="H104" s="70"/>
    </row>
    <row r="105" spans="1:8">
      <c r="A105" s="140">
        <f>IF(A103&gt;=1,A103+1,IF(A103&lt;1/12,1/12,IF(A103&lt;3/12,1/4,IF(A103&lt;0.5,0.5,IF(A103&lt;1,1,"Fehler")))))</f>
        <v>10</v>
      </c>
      <c r="B105" s="236">
        <f>VLOOKUP(A105,$A$6:$B$24,2)</f>
        <v>41597</v>
      </c>
      <c r="C105" s="70"/>
      <c r="D105" s="250">
        <f>VLOOKUP(A105,$A$6:$D$24,4)</f>
        <v>10</v>
      </c>
      <c r="E105" s="70"/>
      <c r="F105" s="140">
        <f>VLOOKUP(B105,$B$6:$F$24,5)</f>
        <v>0.64156988847331287</v>
      </c>
      <c r="G105" s="70"/>
      <c r="H105" s="70"/>
    </row>
    <row r="106" spans="1:8">
      <c r="F106" s="70"/>
      <c r="G106" s="70"/>
      <c r="H106" s="70"/>
    </row>
    <row r="107" spans="1:8">
      <c r="A107" s="140">
        <f>VLOOKUP(B108,$B$6:$I$24,8)</f>
        <v>10</v>
      </c>
      <c r="B107" s="236">
        <f>VLOOKUP(B108,$B$6:$F$24,1)</f>
        <v>41597</v>
      </c>
      <c r="C107" s="70"/>
      <c r="D107" s="250">
        <f>VLOOKUP(A107,$A$6:$D$24,4)</f>
        <v>10</v>
      </c>
      <c r="E107" s="70"/>
      <c r="F107" s="140">
        <f>VLOOKUP(B107,$B$6:$F$24,5)</f>
        <v>0.64156988847331287</v>
      </c>
      <c r="G107" s="70"/>
      <c r="H107" s="70"/>
    </row>
    <row r="108" spans="1:8">
      <c r="A108" s="140"/>
      <c r="B108" s="240">
        <f>EDATE($B$32,6*C108)+IF(WEEKDAY(EDATE($B$32,6*C108))=7,2,IF(WEEKDAY(EDATE($B$32,6*C108))=1,1,0))</f>
        <v>41597</v>
      </c>
      <c r="C108" s="70">
        <f>C104+1</f>
        <v>19</v>
      </c>
      <c r="D108" s="234" t="s">
        <v>226</v>
      </c>
      <c r="E108" s="70">
        <f>(B109-B108)/(B109-B107)</f>
        <v>1</v>
      </c>
      <c r="F108" s="231">
        <f>EXP((B108-$B$6)*(E108/(B107-$B$6)*LN(F107)+(1-E108)/(B109-$B$6)*LN(F109)))</f>
        <v>0.64156988847331287</v>
      </c>
      <c r="G108" s="70"/>
      <c r="H108" s="70"/>
    </row>
    <row r="109" spans="1:8">
      <c r="A109" s="140">
        <f>IF(A107&gt;=1,A107+1,IF(A107&lt;1/12,1/12,IF(A107&lt;3/12,1/4,IF(A107&lt;0.5,0.5,IF(A107&lt;1,1,"Fehler")))))</f>
        <v>11</v>
      </c>
      <c r="B109" s="236">
        <f>VLOOKUP(A109,$A$6:$B$24,2)</f>
        <v>41962</v>
      </c>
      <c r="C109" s="70"/>
      <c r="D109" s="250">
        <f>VLOOKUP(A109,$A$6:$D$24,4)</f>
        <v>11</v>
      </c>
      <c r="E109" s="70"/>
      <c r="F109" s="140">
        <f>VLOOKUP(B109,$B$6:$F$24,5)</f>
        <v>0.60815151879737495</v>
      </c>
      <c r="G109" s="70"/>
      <c r="H109" s="70"/>
    </row>
    <row r="110" spans="1:8">
      <c r="F110" s="70"/>
      <c r="G110" s="70"/>
      <c r="H110" s="70"/>
    </row>
    <row r="111" spans="1:8">
      <c r="A111" s="140">
        <f>VLOOKUP(B112,$B$6:$I$24,8)</f>
        <v>10</v>
      </c>
      <c r="B111" s="236">
        <f>VLOOKUP(B112,$B$6:$F$24,1)</f>
        <v>41597</v>
      </c>
      <c r="C111" s="70"/>
      <c r="D111" s="250">
        <f>VLOOKUP(A111,$A$6:$D$24,4)</f>
        <v>10</v>
      </c>
      <c r="E111" s="70"/>
      <c r="F111" s="140">
        <f>VLOOKUP(B111,$B$6:$F$24,5)</f>
        <v>0.64156988847331287</v>
      </c>
      <c r="G111" s="70"/>
      <c r="H111" s="70"/>
    </row>
    <row r="112" spans="1:8">
      <c r="A112" s="140"/>
      <c r="B112" s="240">
        <f>EDATE($B$32,6*C112)+IF(WEEKDAY(EDATE($B$32,6*C112))=7,2,IF(WEEKDAY(EDATE($B$32,6*C112))=1,1,0))</f>
        <v>41778</v>
      </c>
      <c r="C112" s="70">
        <f>C108+1</f>
        <v>20</v>
      </c>
      <c r="D112" s="234" t="s">
        <v>226</v>
      </c>
      <c r="E112" s="70">
        <f>(B113-B112)/(B113-B111)</f>
        <v>0.50410958904109593</v>
      </c>
      <c r="F112" s="231">
        <f>EXP((B112-$B$6)*(E112/(B111-$B$6)*LN(F111)+(1-E112)/(B113-$B$6)*LN(F113)))</f>
        <v>0.62490437788487574</v>
      </c>
      <c r="G112" s="70"/>
      <c r="H112" s="70"/>
    </row>
    <row r="113" spans="1:8">
      <c r="A113" s="140">
        <f>IF(A111&gt;=1,A111+1,IF(A111&lt;1/12,1/12,IF(A111&lt;3/12,1/4,IF(A111&lt;0.5,0.5,IF(A111&lt;1,1,"Fehler")))))</f>
        <v>11</v>
      </c>
      <c r="B113" s="236">
        <f>VLOOKUP(A113,$A$6:$B$24,2)</f>
        <v>41962</v>
      </c>
      <c r="C113" s="70"/>
      <c r="D113" s="250">
        <f>VLOOKUP(A113,$A$6:$D$24,4)</f>
        <v>11</v>
      </c>
      <c r="E113" s="70"/>
      <c r="F113" s="140">
        <f>VLOOKUP(B113,$B$6:$F$24,5)</f>
        <v>0.60815151879737495</v>
      </c>
      <c r="G113" s="70"/>
      <c r="H113" s="70"/>
    </row>
    <row r="114" spans="1:8">
      <c r="F114" s="70"/>
      <c r="G114" s="70"/>
      <c r="H114" s="70"/>
    </row>
    <row r="115" spans="1:8">
      <c r="A115" s="140">
        <f>VLOOKUP(B116,$B$6:$I$24,8)</f>
        <v>11</v>
      </c>
      <c r="B115" s="236">
        <f>VLOOKUP(B116,$B$6:$F$24,1)</f>
        <v>41962</v>
      </c>
      <c r="C115" s="70"/>
      <c r="D115" s="250">
        <f>VLOOKUP(A115,$A$6:$D$24,4)</f>
        <v>11</v>
      </c>
      <c r="E115" s="70"/>
      <c r="F115" s="140">
        <f>VLOOKUP(B115,$B$6:$F$24,5)</f>
        <v>0.60815151879737495</v>
      </c>
      <c r="G115" s="70"/>
      <c r="H115" s="70"/>
    </row>
    <row r="116" spans="1:8">
      <c r="A116" s="140"/>
      <c r="B116" s="240">
        <f>EDATE($B$32,6*C116)+IF(WEEKDAY(EDATE($B$32,6*C116))=7,2,IF(WEEKDAY(EDATE($B$32,6*C116))=1,1,0))</f>
        <v>41962</v>
      </c>
      <c r="C116" s="70">
        <f>C112+1</f>
        <v>21</v>
      </c>
      <c r="D116" s="234" t="s">
        <v>226</v>
      </c>
      <c r="E116" s="70">
        <f>(B117-B116)/(B117-B115)</f>
        <v>1</v>
      </c>
      <c r="F116" s="231">
        <f>EXP((B116-$B$6)*(E116/(B115-$B$6)*LN(F115)+(1-E116)/(B117-$B$6)*LN(F117)))</f>
        <v>0.60815151879737495</v>
      </c>
      <c r="G116" s="70"/>
      <c r="H116" s="70"/>
    </row>
    <row r="117" spans="1:8">
      <c r="A117" s="140">
        <f>IF(A115&gt;=1,A115+1,IF(A115&lt;1/12,1/12,IF(A115&lt;3/12,1/4,IF(A115&lt;0.5,0.5,IF(A115&lt;1,1,"Fehler")))))</f>
        <v>12</v>
      </c>
      <c r="B117" s="236">
        <f>VLOOKUP(A117,$A$6:$B$24,2)</f>
        <v>42327</v>
      </c>
      <c r="C117" s="70"/>
      <c r="D117" s="250">
        <f>VLOOKUP(A117,$A$6:$D$24,4)</f>
        <v>12</v>
      </c>
      <c r="E117" s="70"/>
      <c r="F117" s="140">
        <f>VLOOKUP(B117,$B$6:$F$24,5)</f>
        <v>0.57532126446617682</v>
      </c>
      <c r="G117" s="70"/>
      <c r="H117" s="70"/>
    </row>
    <row r="118" spans="1:8">
      <c r="F118" s="70"/>
      <c r="G118" s="70"/>
      <c r="H118" s="70"/>
    </row>
    <row r="119" spans="1:8">
      <c r="A119" s="140">
        <f>VLOOKUP(B120,$B$6:$I$24,8)</f>
        <v>11</v>
      </c>
      <c r="B119" s="236">
        <f>VLOOKUP(B120,$B$6:$F$24,1)</f>
        <v>41962</v>
      </c>
      <c r="C119" s="70"/>
      <c r="D119" s="250">
        <f>VLOOKUP(A119,$A$6:$D$24,4)</f>
        <v>11</v>
      </c>
      <c r="E119" s="70"/>
      <c r="F119" s="140">
        <f>VLOOKUP(B119,$B$6:$F$24,5)</f>
        <v>0.60815151879737495</v>
      </c>
      <c r="G119" s="70"/>
      <c r="H119" s="70"/>
    </row>
    <row r="120" spans="1:8">
      <c r="A120" s="140"/>
      <c r="B120" s="240">
        <f>EDATE($B$32,6*C120)+IF(WEEKDAY(EDATE($B$32,6*C120))=7,2,IF(WEEKDAY(EDATE($B$32,6*C120))=1,1,0))</f>
        <v>42143</v>
      </c>
      <c r="C120" s="70">
        <f>C116+1</f>
        <v>22</v>
      </c>
      <c r="D120" s="234" t="s">
        <v>226</v>
      </c>
      <c r="E120" s="70">
        <f>(B121-B120)/(B121-B119)</f>
        <v>0.50410958904109593</v>
      </c>
      <c r="F120" s="231">
        <f>EXP((B120-$B$6)*(E120/(B119-$B$6)*LN(F119)+(1-E120)/(B121-$B$6)*LN(F121)))</f>
        <v>0.59177066982202131</v>
      </c>
      <c r="G120" s="70"/>
      <c r="H120" s="70"/>
    </row>
    <row r="121" spans="1:8">
      <c r="A121" s="140">
        <f>IF(A119&gt;=1,A119+1,IF(A119&lt;1/12,1/12,IF(A119&lt;3/12,1/4,IF(A119&lt;0.5,0.5,IF(A119&lt;1,1,"Fehler")))))</f>
        <v>12</v>
      </c>
      <c r="B121" s="236">
        <f>VLOOKUP(A121,$A$6:$B$24,2)</f>
        <v>42327</v>
      </c>
      <c r="C121" s="70"/>
      <c r="D121" s="250">
        <f>VLOOKUP(A121,$A$6:$D$24,4)</f>
        <v>12</v>
      </c>
      <c r="E121" s="70"/>
      <c r="F121" s="140">
        <f>VLOOKUP(B121,$B$6:$F$24,5)</f>
        <v>0.57532126446617682</v>
      </c>
      <c r="G121" s="70"/>
      <c r="H121" s="70"/>
    </row>
    <row r="122" spans="1:8">
      <c r="G122" s="70"/>
      <c r="H122" s="70"/>
    </row>
    <row r="123" spans="1:8">
      <c r="A123" s="140">
        <f>VLOOKUP(B124,$B$6:$I$24,8)</f>
        <v>12</v>
      </c>
      <c r="B123" s="236">
        <f>VLOOKUP(B124,$B$6:$F$24,1)</f>
        <v>42327</v>
      </c>
      <c r="C123" s="70"/>
      <c r="D123" s="250">
        <f>VLOOKUP(A123,$A$6:$D$24,4)</f>
        <v>12</v>
      </c>
      <c r="E123" s="70"/>
      <c r="F123" s="140">
        <f>VLOOKUP(B123,$B$6:$F$24,5)</f>
        <v>0.57532126446617682</v>
      </c>
      <c r="G123" s="70"/>
      <c r="H123" s="70"/>
    </row>
    <row r="124" spans="1:8">
      <c r="A124" s="140"/>
      <c r="B124" s="240">
        <f>EDATE($B$32,6*C124)+IF(WEEKDAY(EDATE($B$32,6*C124))=7,2,IF(WEEKDAY(EDATE($B$32,6*C124))=1,1,0))</f>
        <v>42327</v>
      </c>
      <c r="C124" s="70">
        <f>C120+1</f>
        <v>23</v>
      </c>
      <c r="D124" s="234" t="s">
        <v>226</v>
      </c>
      <c r="E124" s="70">
        <f>(B125-B124)/(B125-B123)</f>
        <v>1</v>
      </c>
      <c r="F124" s="231">
        <f>EXP((B124-$B$6)*(E124/(B123-$B$6)*LN(F123)+(1-E124)/(B125-$B$6)*LN(F125)))</f>
        <v>0.57532126446617682</v>
      </c>
      <c r="G124" s="70"/>
      <c r="H124" s="70"/>
    </row>
    <row r="125" spans="1:8">
      <c r="A125" s="140">
        <f>IF(A123&gt;=1,A123+1,IF(A123&lt;1/12,1/12,IF(A123&lt;3/12,1/4,IF(A123&lt;0.5,0.5,IF(A123&lt;1,1,"Fehler")))))</f>
        <v>13</v>
      </c>
      <c r="B125" s="236">
        <f>VLOOKUP(A125,$A$6:$B$24,2)</f>
        <v>42695</v>
      </c>
      <c r="C125" s="70"/>
      <c r="D125" s="250">
        <f>VLOOKUP(A125,$A$6:$D$24,4)</f>
        <v>13.005555555555556</v>
      </c>
      <c r="E125" s="70"/>
      <c r="F125" s="140">
        <f>VLOOKUP(B125,$B$6:$F$24,5)</f>
        <v>0.54424316346599089</v>
      </c>
      <c r="G125" s="70"/>
      <c r="H125" s="70"/>
    </row>
    <row r="126" spans="1:8">
      <c r="G126" s="70"/>
      <c r="H126" s="70"/>
    </row>
    <row r="127" spans="1:8">
      <c r="A127" s="140">
        <f>VLOOKUP(B128,$B$6:$I$24,8)</f>
        <v>12</v>
      </c>
      <c r="B127" s="236">
        <f>VLOOKUP(B128,$B$6:$F$24,1)</f>
        <v>42327</v>
      </c>
      <c r="C127" s="70"/>
      <c r="D127" s="250">
        <f>VLOOKUP(A127,$A$6:$D$24,4)</f>
        <v>12</v>
      </c>
      <c r="E127" s="70"/>
      <c r="F127" s="140">
        <f>VLOOKUP(B127,$B$6:$F$24,5)</f>
        <v>0.57532126446617682</v>
      </c>
      <c r="G127" s="70"/>
      <c r="H127" s="70"/>
    </row>
    <row r="128" spans="1:8">
      <c r="A128" s="140"/>
      <c r="B128" s="240">
        <f>EDATE($B$32,6*C128)+IF(WEEKDAY(EDATE($B$32,6*C128))=7,2,IF(WEEKDAY(EDATE($B$32,6*C128))=1,1,0))</f>
        <v>42509</v>
      </c>
      <c r="C128" s="70">
        <f>C124+1</f>
        <v>24</v>
      </c>
      <c r="D128" s="234" t="s">
        <v>226</v>
      </c>
      <c r="E128" s="70">
        <f>(B129-B128)/(B129-B127)</f>
        <v>0.50543478260869568</v>
      </c>
      <c r="F128" s="231">
        <f>EXP((B128-$B$6)*(E128/(B127-$B$6)*LN(F127)+(1-E128)/(B129-$B$6)*LN(F129)))</f>
        <v>0.55983421623500151</v>
      </c>
      <c r="G128" s="70"/>
      <c r="H128" s="70"/>
    </row>
    <row r="129" spans="1:8">
      <c r="A129" s="140">
        <f>IF(A127&gt;=1,A127+1,IF(A127&lt;1/12,1/12,IF(A127&lt;3/12,1/4,IF(A127&lt;0.5,0.5,IF(A127&lt;1,1,"Fehler")))))</f>
        <v>13</v>
      </c>
      <c r="B129" s="236">
        <f>VLOOKUP(A129,$A$6:$B$24,2)</f>
        <v>42695</v>
      </c>
      <c r="C129" s="70"/>
      <c r="D129" s="250">
        <f>VLOOKUP(A129,$A$6:$D$24,4)</f>
        <v>13.005555555555556</v>
      </c>
      <c r="E129" s="70"/>
      <c r="F129" s="140">
        <f>VLOOKUP(B129,$B$6:$F$24,5)</f>
        <v>0.54424316346599089</v>
      </c>
      <c r="G129" s="70"/>
      <c r="H129" s="70"/>
    </row>
    <row r="130" spans="1:8">
      <c r="G130" s="70"/>
      <c r="H130" s="70"/>
    </row>
    <row r="131" spans="1:8">
      <c r="A131" s="140">
        <f>VLOOKUP(B132,$B$6:$I$24,8)</f>
        <v>13</v>
      </c>
      <c r="B131" s="236">
        <f>VLOOKUP(B132,$B$6:$F$24,1)</f>
        <v>42695</v>
      </c>
      <c r="C131" s="70"/>
      <c r="D131" s="250">
        <f>VLOOKUP(A131,$A$6:$D$24,4)</f>
        <v>13.005555555555556</v>
      </c>
      <c r="E131" s="70"/>
      <c r="F131" s="140">
        <f>VLOOKUP(B131,$B$6:$F$24,5)</f>
        <v>0.54424316346599089</v>
      </c>
      <c r="G131" s="70"/>
      <c r="H131" s="70"/>
    </row>
    <row r="132" spans="1:8">
      <c r="A132" s="140"/>
      <c r="B132" s="240">
        <f>EDATE($B$32,6*C132)+IF(WEEKDAY(EDATE($B$32,6*C132))=7,2,IF(WEEKDAY(EDATE($B$32,6*C132))=1,1,0))</f>
        <v>42695</v>
      </c>
      <c r="C132" s="70">
        <f>C128+1</f>
        <v>25</v>
      </c>
      <c r="D132" s="234" t="s">
        <v>226</v>
      </c>
      <c r="E132" s="70">
        <f>(B133-B132)/(B133-B131)</f>
        <v>1</v>
      </c>
      <c r="F132" s="231">
        <f>EXP((B132-$B$6)*(E132/(B131-$B$6)*LN(F131)+(1-E132)/(B133-$B$6)*LN(F133)))</f>
        <v>0.54424316346599089</v>
      </c>
      <c r="G132" s="70"/>
      <c r="H132" s="70"/>
    </row>
    <row r="133" spans="1:8">
      <c r="A133" s="140">
        <f>IF(A131&gt;=1,A131+1,IF(A131&lt;1/12,1/12,IF(A131&lt;3/12,1/4,IF(A131&lt;0.5,0.5,IF(A131&lt;1,1,"Fehler")))))</f>
        <v>14</v>
      </c>
      <c r="B133" s="236">
        <f>VLOOKUP(A133,$A$6:$B$24,2)</f>
        <v>43059</v>
      </c>
      <c r="C133" s="70"/>
      <c r="D133" s="250">
        <f>VLOOKUP(A133,$A$6:$D$24,4)</f>
        <v>14.002777777777778</v>
      </c>
      <c r="E133" s="70"/>
      <c r="F133" s="140">
        <f>VLOOKUP(B133,$B$6:$F$24,5)</f>
        <v>0.5141131343428379</v>
      </c>
      <c r="G133" s="70"/>
      <c r="H133" s="70"/>
    </row>
    <row r="134" spans="1:8">
      <c r="G134" s="70"/>
      <c r="H134" s="70"/>
    </row>
    <row r="135" spans="1:8">
      <c r="A135" s="140">
        <f>VLOOKUP(B136,$B$6:$I$24,8)</f>
        <v>13</v>
      </c>
      <c r="B135" s="236">
        <f>VLOOKUP(B136,$B$6:$F$24,1)</f>
        <v>42695</v>
      </c>
      <c r="C135" s="70"/>
      <c r="D135" s="250">
        <f>VLOOKUP(A135,$A$6:$D$24,4)</f>
        <v>13.005555555555556</v>
      </c>
      <c r="E135" s="70"/>
      <c r="F135" s="140">
        <f>VLOOKUP(B135,$B$6:$F$24,5)</f>
        <v>0.54424316346599089</v>
      </c>
      <c r="G135" s="70"/>
      <c r="H135" s="70"/>
    </row>
    <row r="136" spans="1:8">
      <c r="A136" s="140"/>
      <c r="B136" s="240">
        <f>EDATE($B$32,6*C136)+IF(WEEKDAY(EDATE($B$32,6*C136))=7,2,IF(WEEKDAY(EDATE($B$32,6*C136))=1,1,0))</f>
        <v>42874</v>
      </c>
      <c r="C136" s="70">
        <f>C132+1</f>
        <v>26</v>
      </c>
      <c r="D136" s="234" t="s">
        <v>226</v>
      </c>
      <c r="E136" s="70">
        <f>(B137-B136)/(B137-B135)</f>
        <v>0.50824175824175821</v>
      </c>
      <c r="F136" s="231">
        <f>EXP((B136-$B$6)*(E136/(B135-$B$6)*LN(F135)+(1-E136)/(B137-$B$6)*LN(F137)))</f>
        <v>0.52930937764828556</v>
      </c>
      <c r="G136" s="70"/>
      <c r="H136" s="70"/>
    </row>
    <row r="137" spans="1:8">
      <c r="A137" s="140">
        <f>IF(A135&gt;=1,A135+1,IF(A135&lt;1/12,1/12,IF(A135&lt;3/12,1/4,IF(A135&lt;0.5,0.5,IF(A135&lt;1,1,"Fehler")))))</f>
        <v>14</v>
      </c>
      <c r="B137" s="236">
        <f>VLOOKUP(A137,$A$6:$B$24,2)</f>
        <v>43059</v>
      </c>
      <c r="C137" s="70"/>
      <c r="D137" s="250">
        <f>VLOOKUP(A137,$A$6:$D$24,4)</f>
        <v>14.002777777777778</v>
      </c>
      <c r="E137" s="70"/>
      <c r="F137" s="140">
        <f>VLOOKUP(B137,$B$6:$F$24,5)</f>
        <v>0.5141131343428379</v>
      </c>
      <c r="G137" s="70"/>
      <c r="H137" s="70"/>
    </row>
    <row r="138" spans="1:8">
      <c r="G138" s="70"/>
      <c r="H138" s="70"/>
    </row>
    <row r="139" spans="1:8">
      <c r="A139" s="140">
        <f>VLOOKUP(B140,$B$6:$I$24,8)</f>
        <v>14</v>
      </c>
      <c r="B139" s="236">
        <f>VLOOKUP(B140,$B$6:$F$24,1)</f>
        <v>43059</v>
      </c>
      <c r="C139" s="70"/>
      <c r="D139" s="250">
        <f>VLOOKUP(A139,$A$6:$D$24,4)</f>
        <v>14.002777777777778</v>
      </c>
      <c r="E139" s="70"/>
      <c r="F139" s="140">
        <f>VLOOKUP(B139,$B$6:$F$24,5)</f>
        <v>0.5141131343428379</v>
      </c>
      <c r="G139" s="70"/>
      <c r="H139" s="70"/>
    </row>
    <row r="140" spans="1:8">
      <c r="A140" s="140"/>
      <c r="B140" s="240">
        <f>EDATE($B$32,6*C140)+IF(WEEKDAY(EDATE($B$32,6*C140))=7,2,IF(WEEKDAY(EDATE($B$32,6*C140))=1,1,0))</f>
        <v>43059</v>
      </c>
      <c r="C140" s="70">
        <f>C136+1</f>
        <v>27</v>
      </c>
      <c r="D140" s="234" t="s">
        <v>226</v>
      </c>
      <c r="E140" s="70">
        <f>(B141-B140)/(B141-B139)</f>
        <v>1</v>
      </c>
      <c r="F140" s="231">
        <f>EXP((B140-$B$6)*(E140/(B139-$B$6)*LN(F139)+(1-E140)/(B141-$B$6)*LN(F141)))</f>
        <v>0.5141131343428379</v>
      </c>
      <c r="G140" s="70"/>
      <c r="H140" s="70"/>
    </row>
    <row r="141" spans="1:8">
      <c r="A141" s="140">
        <f>IF(A139&gt;=1,A139+1,IF(A139&lt;1/12,1/12,IF(A139&lt;3/12,1/4,IF(A139&lt;0.5,0.5,IF(A139&lt;1,1,"Fehler")))))</f>
        <v>15</v>
      </c>
      <c r="B141" s="236">
        <f>VLOOKUP(A141,$A$6:$B$24,2)</f>
        <v>43423</v>
      </c>
      <c r="C141" s="70"/>
      <c r="D141" s="250">
        <f>VLOOKUP(A141,$A$6:$D$24,4)</f>
        <v>15</v>
      </c>
      <c r="E141" s="70"/>
      <c r="F141" s="140">
        <f>VLOOKUP(B141,$B$6:$F$24,5)</f>
        <v>0.48474344323307944</v>
      </c>
      <c r="G141" s="70"/>
      <c r="H141" s="70"/>
    </row>
    <row r="142" spans="1:8">
      <c r="G142" s="70"/>
      <c r="H142" s="70"/>
    </row>
    <row r="143" spans="1:8">
      <c r="A143" s="140">
        <f>VLOOKUP(B144,$B$6:$I$24,8)</f>
        <v>14</v>
      </c>
      <c r="B143" s="236">
        <f>VLOOKUP(B144,$B$6:$F$24,1)</f>
        <v>43059</v>
      </c>
      <c r="C143" s="70"/>
      <c r="D143" s="250">
        <f>VLOOKUP(A143,$A$6:$D$24,4)</f>
        <v>14.002777777777778</v>
      </c>
      <c r="E143" s="70"/>
      <c r="F143" s="140">
        <f>VLOOKUP(B143,$B$6:$F$24,5)</f>
        <v>0.5141131343428379</v>
      </c>
      <c r="G143" s="70"/>
      <c r="H143" s="70"/>
    </row>
    <row r="144" spans="1:8">
      <c r="A144" s="140"/>
      <c r="B144" s="240">
        <f>EDATE($B$32,6*C144)+IF(WEEKDAY(EDATE($B$32,6*C144))=7,2,IF(WEEKDAY(EDATE($B$32,6*C144))=1,1,0))</f>
        <v>43241</v>
      </c>
      <c r="C144" s="70">
        <f>C140+1</f>
        <v>28</v>
      </c>
      <c r="D144" s="234" t="s">
        <v>226</v>
      </c>
      <c r="E144" s="70">
        <f>(B145-B144)/(B145-B143)</f>
        <v>0.5</v>
      </c>
      <c r="F144" s="231">
        <f>EXP((B144-$B$6)*(E144/(B143-$B$6)*LN(F143)+(1-E144)/(B145-$B$6)*LN(F145)))</f>
        <v>0.49930752631443254</v>
      </c>
      <c r="G144" s="70"/>
      <c r="H144" s="70"/>
    </row>
    <row r="145" spans="1:8">
      <c r="A145" s="140">
        <f>IF(A143&gt;=1,A143+1,IF(A143&lt;1/12,1/12,IF(A143&lt;3/12,1/4,IF(A143&lt;0.5,0.5,IF(A143&lt;1,1,"Fehler")))))</f>
        <v>15</v>
      </c>
      <c r="B145" s="236">
        <f>VLOOKUP(A145,$A$6:$B$24,2)</f>
        <v>43423</v>
      </c>
      <c r="C145" s="70"/>
      <c r="D145" s="250">
        <f>VLOOKUP(A145,$A$6:$D$24,4)</f>
        <v>15</v>
      </c>
      <c r="E145" s="70"/>
      <c r="F145" s="140">
        <f>VLOOKUP(B145,$B$6:$F$24,5)</f>
        <v>0.48474344323307944</v>
      </c>
      <c r="G145" s="70"/>
      <c r="H145" s="70"/>
    </row>
    <row r="146" spans="1:8">
      <c r="G146" s="70"/>
      <c r="H146" s="70"/>
    </row>
    <row r="147" spans="1:8">
      <c r="A147" s="140">
        <f>VLOOKUP(B148,$B$6:$I$24,8)</f>
        <v>15</v>
      </c>
      <c r="B147" s="236">
        <f>VLOOKUP(B148,$B$6:$F$24,1)</f>
        <v>43423</v>
      </c>
      <c r="C147" s="70"/>
      <c r="D147" s="250">
        <f>VLOOKUP(A147,$A$6:$D$24,4)</f>
        <v>15</v>
      </c>
      <c r="E147" s="70"/>
      <c r="F147" s="140">
        <f>VLOOKUP(B147,$B$6:$F$24,5)</f>
        <v>0.48474344323307944</v>
      </c>
      <c r="G147" s="70"/>
      <c r="H147" s="70"/>
    </row>
    <row r="148" spans="1:8">
      <c r="A148" s="140"/>
      <c r="B148" s="240">
        <f>EDATE($B$32,6*C148)+IF(WEEKDAY(EDATE($B$32,6*C148))=7,2,IF(WEEKDAY(EDATE($B$32,6*C148))=1,1,0))</f>
        <v>43423</v>
      </c>
      <c r="C148" s="70">
        <f>C144+1</f>
        <v>29</v>
      </c>
      <c r="D148" s="234" t="s">
        <v>226</v>
      </c>
      <c r="E148" s="70" t="e">
        <f>(B149-B148)/(B149-B147)</f>
        <v>#DIV/0!</v>
      </c>
      <c r="F148" s="231" t="e">
        <f>EXP((B148-$B$6)*(E148/(B147-$B$6)*LN(F147)+(1-E148)/(B149-$B$6)*LN(F149)))</f>
        <v>#DIV/0!</v>
      </c>
      <c r="G148" s="70"/>
      <c r="H148" s="70"/>
    </row>
    <row r="149" spans="1:8">
      <c r="A149" s="140">
        <f>IF(A147&gt;=1,A147+1,IF(A147&lt;1/12,1/12,IF(A147&lt;3/12,1/4,IF(A147&lt;0.5,0.5,IF(A147&lt;1,1,"Fehler")))))</f>
        <v>16</v>
      </c>
      <c r="B149" s="236">
        <f>VLOOKUP(A149,$A$6:$B$24,2)</f>
        <v>43423</v>
      </c>
      <c r="C149" s="70"/>
      <c r="D149" s="250">
        <f>VLOOKUP(A149,$A$6:$D$24,4)</f>
        <v>15</v>
      </c>
      <c r="E149" s="70"/>
      <c r="F149" s="140">
        <f>VLOOKUP(B149,$B$6:$F$24,5)</f>
        <v>0.48474344323307944</v>
      </c>
      <c r="G149" s="70"/>
      <c r="H149" s="70"/>
    </row>
  </sheetData>
  <phoneticPr fontId="0" type="noConversion"/>
  <pageMargins left="0.78740157499999996" right="0.78740157499999996" top="0.984251969" bottom="0.984251969" header="0.4921259845" footer="0.4921259845"/>
  <pageSetup paperSize="9"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heetViews>
  <sheetFormatPr baseColWidth="10" defaultRowHeight="12.75"/>
  <sheetData>
    <row r="1" spans="1:5">
      <c r="A1" s="70" t="s">
        <v>551</v>
      </c>
      <c r="B1" s="70"/>
      <c r="C1" s="70"/>
      <c r="D1" s="70"/>
      <c r="E1" s="70"/>
    </row>
    <row r="2" spans="1:5">
      <c r="A2" s="70"/>
      <c r="B2" s="70"/>
      <c r="C2" s="70"/>
      <c r="D2" s="70"/>
      <c r="E2" s="70"/>
    </row>
    <row r="3" spans="1:5">
      <c r="A3" s="70"/>
      <c r="B3" s="70"/>
      <c r="C3" s="70"/>
      <c r="D3" s="70"/>
      <c r="E3" s="70"/>
    </row>
  </sheetData>
  <phoneticPr fontId="15" type="noConversion"/>
  <pageMargins left="0.78740157499999996" right="0.78740157499999996" top="0.984251969" bottom="0.984251969" header="0.4921259845" footer="0.4921259845"/>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election activeCell="C2" sqref="C2"/>
    </sheetView>
  </sheetViews>
  <sheetFormatPr baseColWidth="10" defaultRowHeight="12.75"/>
  <cols>
    <col min="1" max="1" width="3.5703125" customWidth="1"/>
    <col min="2" max="2" width="7.5703125" customWidth="1"/>
    <col min="3" max="3" width="11" customWidth="1"/>
    <col min="4" max="4" width="8.28515625" customWidth="1"/>
    <col min="5" max="5" width="11.140625" customWidth="1"/>
    <col min="6" max="6" width="9.42578125" customWidth="1"/>
    <col min="7" max="7" width="11.5703125" customWidth="1"/>
    <col min="9" max="9" width="10.140625" customWidth="1"/>
  </cols>
  <sheetData>
    <row r="1" spans="1:10">
      <c r="A1" s="479" t="s">
        <v>493</v>
      </c>
      <c r="B1" s="406"/>
      <c r="C1" s="406"/>
      <c r="D1" s="406"/>
      <c r="E1" s="406"/>
      <c r="F1" s="406"/>
      <c r="G1" s="406"/>
      <c r="H1" s="406"/>
      <c r="I1" s="406"/>
      <c r="J1" s="406"/>
    </row>
    <row r="2" spans="1:10">
      <c r="A2" s="480" t="s">
        <v>492</v>
      </c>
      <c r="B2" s="481"/>
      <c r="C2" s="439">
        <v>10000000</v>
      </c>
      <c r="D2" s="406"/>
      <c r="E2" s="406"/>
      <c r="F2" s="406"/>
      <c r="G2" s="406"/>
      <c r="H2" s="406"/>
      <c r="I2" s="406"/>
      <c r="J2" s="406"/>
    </row>
    <row r="3" spans="1:10">
      <c r="A3" s="480" t="s">
        <v>488</v>
      </c>
      <c r="B3" s="481"/>
      <c r="C3" s="440">
        <v>0.06</v>
      </c>
      <c r="D3" s="406"/>
      <c r="E3" s="406"/>
      <c r="F3" s="406"/>
      <c r="G3" s="406"/>
      <c r="H3" s="406"/>
      <c r="I3" s="406"/>
      <c r="J3" s="406"/>
    </row>
    <row r="4" spans="1:10">
      <c r="A4" s="480" t="s">
        <v>13</v>
      </c>
      <c r="B4" s="481"/>
      <c r="C4" s="483" t="s">
        <v>531</v>
      </c>
      <c r="D4" s="406"/>
      <c r="E4" s="406"/>
      <c r="F4" s="406"/>
      <c r="G4" s="406"/>
      <c r="H4" s="406"/>
      <c r="I4" s="406"/>
      <c r="J4" s="406"/>
    </row>
    <row r="5" spans="1:10">
      <c r="A5" s="480" t="s">
        <v>491</v>
      </c>
      <c r="B5" s="481"/>
      <c r="C5" s="440">
        <v>0.25</v>
      </c>
      <c r="D5" s="406"/>
      <c r="E5" s="406"/>
      <c r="F5" s="406"/>
      <c r="G5" s="406"/>
      <c r="H5" s="406"/>
      <c r="I5" s="406"/>
      <c r="J5" s="406"/>
    </row>
    <row r="6" spans="1:10">
      <c r="A6" s="406"/>
      <c r="B6" s="406"/>
      <c r="C6" s="406"/>
      <c r="D6" s="406"/>
      <c r="E6" s="406"/>
      <c r="F6" s="406"/>
      <c r="G6" s="406"/>
      <c r="H6" s="406"/>
      <c r="I6" s="406"/>
      <c r="J6" s="406"/>
    </row>
    <row r="7" spans="1:10">
      <c r="A7" s="406"/>
      <c r="B7" s="406"/>
      <c r="C7" s="406"/>
      <c r="D7" s="406"/>
      <c r="E7" s="406"/>
      <c r="F7" s="406"/>
      <c r="G7" s="406"/>
      <c r="H7" s="406"/>
      <c r="I7" s="406"/>
      <c r="J7" s="406"/>
    </row>
    <row r="8" spans="1:10" ht="68.25" customHeight="1">
      <c r="A8" s="408" t="s">
        <v>36</v>
      </c>
      <c r="B8" s="470" t="s">
        <v>489</v>
      </c>
      <c r="C8" s="470" t="s">
        <v>503</v>
      </c>
      <c r="D8" s="470" t="s">
        <v>490</v>
      </c>
      <c r="E8" s="471"/>
      <c r="F8" s="407"/>
      <c r="G8" s="407"/>
      <c r="H8" s="407"/>
      <c r="I8" s="470" t="s">
        <v>538</v>
      </c>
      <c r="J8" s="406"/>
    </row>
    <row r="9" spans="1:10" s="449" customFormat="1" ht="21" customHeight="1">
      <c r="A9" s="482" t="s">
        <v>216</v>
      </c>
      <c r="B9" s="482" t="s">
        <v>536</v>
      </c>
      <c r="C9" s="482" t="s">
        <v>535</v>
      </c>
      <c r="D9" s="472" t="s">
        <v>537</v>
      </c>
      <c r="E9" s="472" t="s">
        <v>496</v>
      </c>
      <c r="F9" s="472" t="s">
        <v>497</v>
      </c>
      <c r="G9" s="472" t="s">
        <v>498</v>
      </c>
      <c r="H9" s="472" t="s">
        <v>499</v>
      </c>
      <c r="I9" s="472" t="s">
        <v>500</v>
      </c>
      <c r="J9" s="473"/>
    </row>
    <row r="10" spans="1:10">
      <c r="A10" s="407">
        <v>0</v>
      </c>
      <c r="B10" s="484">
        <v>1</v>
      </c>
      <c r="C10" s="475">
        <f t="shared" ref="C10:C15" si="0">B11/B10</f>
        <v>0.96</v>
      </c>
      <c r="D10" s="474">
        <f t="shared" ref="D10:D15" si="1">1/C10-1</f>
        <v>4.1666666666666741E-2</v>
      </c>
      <c r="E10" s="407"/>
      <c r="F10" s="407"/>
      <c r="G10" s="407"/>
      <c r="H10" s="407"/>
      <c r="I10" s="407"/>
      <c r="J10" s="406"/>
    </row>
    <row r="11" spans="1:10" ht="12" customHeight="1">
      <c r="A11" s="407">
        <v>1</v>
      </c>
      <c r="B11" s="425">
        <v>0.96</v>
      </c>
      <c r="C11" s="475">
        <f t="shared" si="0"/>
        <v>0.95833333333333337</v>
      </c>
      <c r="D11" s="474">
        <f t="shared" si="1"/>
        <v>4.3478260869565188E-2</v>
      </c>
      <c r="E11" s="475">
        <f>LN(D11/$C$3)/($C$5*SQRT($A11))+$C$5/2*SQRT($A11)</f>
        <v>-1.1633339966764558</v>
      </c>
      <c r="F11" s="476">
        <f>NORMSDIST(E11)</f>
        <v>0.1223470087095065</v>
      </c>
      <c r="G11" s="407">
        <f>E11-$C$5*SQRT($A11)</f>
        <v>-1.4133339966764558</v>
      </c>
      <c r="H11" s="407">
        <f>NORMSDIST(G11)</f>
        <v>7.8778771231363579E-2</v>
      </c>
      <c r="I11" s="477">
        <f>$C$2*1*B12*(D11*F11-$C$3*H11)</f>
        <v>5452.9217640898769</v>
      </c>
      <c r="J11" s="406"/>
    </row>
    <row r="12" spans="1:10">
      <c r="A12" s="407">
        <v>2</v>
      </c>
      <c r="B12" s="425">
        <v>0.92</v>
      </c>
      <c r="C12" s="475">
        <f t="shared" si="0"/>
        <v>0.94565217391304346</v>
      </c>
      <c r="D12" s="474">
        <f t="shared" si="1"/>
        <v>5.7471264367816133E-2</v>
      </c>
      <c r="E12" s="475">
        <f>LN(D12/$C$3)/($C$5*SQRT($A12))+$C$5/2*SQRT($A12)</f>
        <v>5.4986067328988211E-2</v>
      </c>
      <c r="F12" s="476">
        <f>NORMSDIST(E12)</f>
        <v>0.52192521816977355</v>
      </c>
      <c r="G12" s="407">
        <f>E12-$C$5*SQRT($A12)</f>
        <v>-0.29856732326428559</v>
      </c>
      <c r="H12" s="407">
        <f>NORMSDIST(G12)</f>
        <v>0.38263510051474181</v>
      </c>
      <c r="I12" s="477">
        <f>$C$2*1*B13*(D12*F12-$C$3*H12)</f>
        <v>61227.086616191715</v>
      </c>
      <c r="J12" s="406"/>
    </row>
    <row r="13" spans="1:10">
      <c r="A13" s="407">
        <v>3</v>
      </c>
      <c r="B13" s="425">
        <v>0.87</v>
      </c>
      <c r="C13" s="475">
        <f t="shared" si="0"/>
        <v>0.94252873563218387</v>
      </c>
      <c r="D13" s="474">
        <f t="shared" si="1"/>
        <v>6.0975609756097615E-2</v>
      </c>
      <c r="E13" s="475">
        <f>LN(D13/$C$3)/($C$5*SQRT($A13))+$C$5/2*SQRT($A13)</f>
        <v>0.25375556294243429</v>
      </c>
      <c r="F13" s="476">
        <f>NORMSDIST(E13)</f>
        <v>0.60015779722740314</v>
      </c>
      <c r="G13" s="407">
        <f>E13-$C$5*SQRT($A13)</f>
        <v>-0.17925713894978501</v>
      </c>
      <c r="H13" s="407">
        <f>NORMSDIST(G13)</f>
        <v>0.42886789991834101</v>
      </c>
      <c r="I13" s="477">
        <f>$C$2*1*B14*(D13*F13-$C$3*H13)</f>
        <v>89075.891853878071</v>
      </c>
      <c r="J13" s="406"/>
    </row>
    <row r="14" spans="1:10">
      <c r="A14" s="407">
        <v>4</v>
      </c>
      <c r="B14" s="425">
        <v>0.82</v>
      </c>
      <c r="C14" s="475">
        <f t="shared" si="0"/>
        <v>0.9390243902439025</v>
      </c>
      <c r="D14" s="474">
        <f t="shared" si="1"/>
        <v>6.4935064935064846E-2</v>
      </c>
      <c r="E14" s="475">
        <f>LN(D14/$C$3)/($C$5*SQRT($A14))+$C$5/2*SQRT($A14)</f>
        <v>0.40808641468090334</v>
      </c>
      <c r="F14" s="476">
        <f>NORMSDIST(E14)</f>
        <v>0.65839488324742301</v>
      </c>
      <c r="G14" s="407">
        <f>E14-$C$5*SQRT($A14)</f>
        <v>-9.1913585319096658E-2</v>
      </c>
      <c r="H14" s="407">
        <f>NORMSDIST(G14)</f>
        <v>0.46338334881505217</v>
      </c>
      <c r="I14" s="477">
        <f>$C$2*1*B15*(D14*F14-$C$3*H14)</f>
        <v>115114.33447115697</v>
      </c>
      <c r="J14" s="406"/>
    </row>
    <row r="15" spans="1:10">
      <c r="A15" s="407">
        <v>5</v>
      </c>
      <c r="B15" s="425">
        <v>0.77</v>
      </c>
      <c r="C15" s="475">
        <f t="shared" si="0"/>
        <v>0.93506493506493504</v>
      </c>
      <c r="D15" s="474">
        <f t="shared" si="1"/>
        <v>6.944444444444442E-2</v>
      </c>
      <c r="E15" s="475">
        <f>LN(D15/$C$3)/($C$5*SQRT($A15))+$C$5/2*SQRT($A15)</f>
        <v>0.54100772109126904</v>
      </c>
      <c r="F15" s="476">
        <f>NORMSDIST(E15)</f>
        <v>0.70574886957127037</v>
      </c>
      <c r="G15" s="407">
        <f>E15-$C$5*SQRT($A15)</f>
        <v>-1.8009273283678406E-2</v>
      </c>
      <c r="H15" s="407">
        <f>NORMSDIST(G15)</f>
        <v>0.49281572780046834</v>
      </c>
      <c r="I15" s="477">
        <f>$C$2*1*B16*(D15*F15-$C$3*H15)</f>
        <v>139978.04037583273</v>
      </c>
      <c r="J15" s="406"/>
    </row>
    <row r="16" spans="1:10">
      <c r="A16" s="407">
        <v>6</v>
      </c>
      <c r="B16" s="425">
        <v>0.72</v>
      </c>
      <c r="C16" s="407"/>
      <c r="D16" s="407"/>
      <c r="E16" s="407"/>
      <c r="F16" s="407"/>
      <c r="G16" s="407"/>
      <c r="H16" s="407"/>
      <c r="I16" s="407"/>
      <c r="J16" s="406"/>
    </row>
    <row r="17" spans="1:10">
      <c r="A17" s="406"/>
      <c r="B17" s="406"/>
      <c r="C17" s="406"/>
      <c r="D17" s="406"/>
      <c r="E17" s="406"/>
      <c r="F17" s="406"/>
      <c r="G17" s="406"/>
      <c r="H17" s="406"/>
      <c r="I17" s="406"/>
      <c r="J17" s="406"/>
    </row>
    <row r="18" spans="1:10">
      <c r="A18" s="406"/>
      <c r="B18" s="406"/>
      <c r="C18" s="406"/>
      <c r="D18" s="406"/>
      <c r="E18" s="406"/>
      <c r="F18" s="406"/>
      <c r="G18" s="406"/>
      <c r="H18" s="406" t="s">
        <v>157</v>
      </c>
      <c r="I18" s="478">
        <f>SUM(I11:I15)</f>
        <v>410848.2750811493</v>
      </c>
      <c r="J18" s="406"/>
    </row>
  </sheetData>
  <phoneticPr fontId="0" type="noConversion"/>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election activeCell="C2" sqref="C2"/>
    </sheetView>
  </sheetViews>
  <sheetFormatPr baseColWidth="10" defaultRowHeight="12.75"/>
  <cols>
    <col min="1" max="1" width="3.5703125" customWidth="1"/>
    <col min="2" max="2" width="7.5703125" customWidth="1"/>
    <col min="3" max="3" width="12" customWidth="1"/>
    <col min="4" max="4" width="8" customWidth="1"/>
    <col min="5" max="5" width="10.5703125" customWidth="1"/>
    <col min="6" max="6" width="10" customWidth="1"/>
    <col min="7" max="7" width="10.7109375" customWidth="1"/>
    <col min="8" max="8" width="10.5703125" customWidth="1"/>
    <col min="9" max="9" width="9.7109375" customWidth="1"/>
  </cols>
  <sheetData>
    <row r="1" spans="1:10">
      <c r="A1" s="479" t="s">
        <v>495</v>
      </c>
      <c r="B1" s="406"/>
      <c r="C1" s="406"/>
      <c r="D1" s="406"/>
      <c r="E1" s="406"/>
      <c r="F1" s="406"/>
      <c r="G1" s="406"/>
      <c r="H1" s="406"/>
      <c r="I1" s="406"/>
      <c r="J1" s="406"/>
    </row>
    <row r="2" spans="1:10">
      <c r="A2" s="406" t="s">
        <v>492</v>
      </c>
      <c r="B2" s="406"/>
      <c r="C2" s="426">
        <v>10000000</v>
      </c>
      <c r="D2" s="406"/>
      <c r="E2" s="406"/>
      <c r="F2" s="406"/>
      <c r="G2" s="406"/>
      <c r="H2" s="406"/>
      <c r="I2" s="406"/>
      <c r="J2" s="406"/>
    </row>
    <row r="3" spans="1:10">
      <c r="A3" s="485" t="s">
        <v>488</v>
      </c>
      <c r="B3" s="406"/>
      <c r="C3" s="427">
        <v>0.02</v>
      </c>
      <c r="D3" s="406"/>
      <c r="E3" s="406"/>
      <c r="F3" s="406"/>
      <c r="G3" s="406"/>
      <c r="H3" s="406"/>
      <c r="I3" s="406"/>
      <c r="J3" s="406"/>
    </row>
    <row r="4" spans="1:10">
      <c r="A4" s="485" t="s">
        <v>13</v>
      </c>
      <c r="B4" s="406"/>
      <c r="C4" s="487">
        <v>6</v>
      </c>
      <c r="D4" s="406" t="s">
        <v>59</v>
      </c>
      <c r="E4" s="406"/>
      <c r="F4" s="406"/>
      <c r="G4" s="406"/>
      <c r="H4" s="406"/>
      <c r="I4" s="406"/>
      <c r="J4" s="406"/>
    </row>
    <row r="5" spans="1:10">
      <c r="A5" s="486" t="s">
        <v>491</v>
      </c>
      <c r="B5" s="406"/>
      <c r="C5" s="427">
        <v>0.25</v>
      </c>
      <c r="D5" s="406"/>
      <c r="E5" s="406"/>
      <c r="F5" s="406"/>
      <c r="G5" s="406"/>
      <c r="H5" s="406"/>
      <c r="I5" s="406"/>
      <c r="J5" s="406"/>
    </row>
    <row r="6" spans="1:10">
      <c r="A6" s="406"/>
      <c r="B6" s="406"/>
      <c r="C6" s="406"/>
      <c r="D6" s="406"/>
      <c r="E6" s="406"/>
      <c r="F6" s="406"/>
      <c r="G6" s="406"/>
      <c r="H6" s="406"/>
      <c r="I6" s="406"/>
      <c r="J6" s="406"/>
    </row>
    <row r="7" spans="1:10">
      <c r="A7" s="406"/>
      <c r="B7" s="406"/>
      <c r="C7" s="406"/>
      <c r="D7" s="406"/>
      <c r="E7" s="406"/>
      <c r="F7" s="406"/>
      <c r="G7" s="406"/>
      <c r="H7" s="406"/>
      <c r="I7" s="406"/>
      <c r="J7" s="406"/>
    </row>
    <row r="8" spans="1:10" ht="66.75" customHeight="1">
      <c r="A8" s="408" t="s">
        <v>36</v>
      </c>
      <c r="B8" s="470" t="s">
        <v>489</v>
      </c>
      <c r="C8" s="470" t="s">
        <v>503</v>
      </c>
      <c r="D8" s="470" t="s">
        <v>490</v>
      </c>
      <c r="E8" s="471"/>
      <c r="F8" s="407"/>
      <c r="G8" s="407"/>
      <c r="H8" s="407"/>
      <c r="I8" s="470" t="s">
        <v>504</v>
      </c>
      <c r="J8" s="406"/>
    </row>
    <row r="9" spans="1:10" s="449" customFormat="1" ht="21" customHeight="1">
      <c r="A9" s="482" t="s">
        <v>216</v>
      </c>
      <c r="B9" s="482" t="s">
        <v>536</v>
      </c>
      <c r="C9" s="482" t="s">
        <v>535</v>
      </c>
      <c r="D9" s="472" t="s">
        <v>537</v>
      </c>
      <c r="E9" s="472" t="s">
        <v>496</v>
      </c>
      <c r="F9" s="472" t="s">
        <v>501</v>
      </c>
      <c r="G9" s="472" t="s">
        <v>498</v>
      </c>
      <c r="H9" s="472" t="s">
        <v>502</v>
      </c>
      <c r="I9" s="472" t="s">
        <v>505</v>
      </c>
      <c r="J9" s="473"/>
    </row>
    <row r="10" spans="1:10">
      <c r="A10" s="407">
        <v>0</v>
      </c>
      <c r="B10" s="484">
        <v>1</v>
      </c>
      <c r="C10" s="475">
        <f t="shared" ref="C10:C15" si="0">B11/B10</f>
        <v>0.96</v>
      </c>
      <c r="D10" s="474">
        <f t="shared" ref="D10:D15" si="1">1/C10-1</f>
        <v>4.1666666666666741E-2</v>
      </c>
      <c r="E10" s="407"/>
      <c r="F10" s="407"/>
      <c r="G10" s="407"/>
      <c r="H10" s="407"/>
      <c r="I10" s="407"/>
      <c r="J10" s="406"/>
    </row>
    <row r="11" spans="1:10" ht="12" customHeight="1">
      <c r="A11" s="407">
        <v>1</v>
      </c>
      <c r="B11" s="484">
        <v>0.96</v>
      </c>
      <c r="C11" s="475">
        <f t="shared" si="0"/>
        <v>0.95833333333333337</v>
      </c>
      <c r="D11" s="474">
        <f t="shared" si="1"/>
        <v>4.3478260869565188E-2</v>
      </c>
      <c r="E11" s="475">
        <f>LN(D11/$C$3)/($C$5*SQRT($A11))+$C$5/2*SQRT($A11)</f>
        <v>3.2311151579959829</v>
      </c>
      <c r="F11" s="476">
        <f>NORMSDIST(-E11)</f>
        <v>6.1654124595471229E-4</v>
      </c>
      <c r="G11" s="407">
        <f>E11-$C$5*SQRT($A11)</f>
        <v>2.9811151579959829</v>
      </c>
      <c r="H11" s="476">
        <f>NORMSDIST(-G11)</f>
        <v>1.4360038557269532E-3</v>
      </c>
      <c r="I11" s="477">
        <f>$C$2*1*B12*($C$3*H11-D11*F11)</f>
        <v>17.608211071874656</v>
      </c>
      <c r="J11" s="406"/>
    </row>
    <row r="12" spans="1:10">
      <c r="A12" s="407">
        <v>2</v>
      </c>
      <c r="B12" s="484">
        <v>0.92</v>
      </c>
      <c r="C12" s="475">
        <f t="shared" si="0"/>
        <v>0.94565217391304346</v>
      </c>
      <c r="D12" s="474">
        <f t="shared" si="1"/>
        <v>5.7471264367816133E-2</v>
      </c>
      <c r="E12" s="475">
        <f>LN(D12/$C$3)/($C$5*SQRT($A12))+$C$5/2*SQRT($A12)</f>
        <v>3.1623308641773606</v>
      </c>
      <c r="F12" s="476">
        <f>NORMSDIST(-E12)</f>
        <v>7.8255812589190577E-4</v>
      </c>
      <c r="G12" s="407">
        <f>E12-$C$5*SQRT($A12)</f>
        <v>2.8087774735840867</v>
      </c>
      <c r="H12" s="476">
        <f>NORMSDIST(-G12)</f>
        <v>2.4865003612284816E-3</v>
      </c>
      <c r="I12" s="477">
        <f>$C$2*1*B13*($C$3*H12-D12*F12)</f>
        <v>41.371999907802639</v>
      </c>
      <c r="J12" s="406"/>
    </row>
    <row r="13" spans="1:10">
      <c r="A13" s="407">
        <v>3</v>
      </c>
      <c r="B13" s="484">
        <v>0.87</v>
      </c>
      <c r="C13" s="475">
        <f t="shared" si="0"/>
        <v>0.94252873563218387</v>
      </c>
      <c r="D13" s="474">
        <f t="shared" si="1"/>
        <v>6.0975609756097615E-2</v>
      </c>
      <c r="E13" s="475">
        <f>LN(D13/$C$3)/($C$5*SQRT($A13))+$C$5/2*SQRT($A13)</f>
        <v>2.7908919653326905</v>
      </c>
      <c r="F13" s="476">
        <f>NORMSDIST(-E13)</f>
        <v>2.6281506778024358E-3</v>
      </c>
      <c r="G13" s="407">
        <f>E13-$C$5*SQRT($A13)</f>
        <v>2.3578792634404713</v>
      </c>
      <c r="H13" s="476">
        <f>NORMSDIST(-G13)</f>
        <v>9.1898348630127854E-3</v>
      </c>
      <c r="I13" s="477">
        <f>$C$2*1*B14*($C$3*H13-D13*F13)</f>
        <v>193.05757863287766</v>
      </c>
      <c r="J13" s="406"/>
    </row>
    <row r="14" spans="1:10">
      <c r="A14" s="407">
        <v>4</v>
      </c>
      <c r="B14" s="484">
        <v>0.82</v>
      </c>
      <c r="C14" s="475">
        <f t="shared" si="0"/>
        <v>0.9390243902439025</v>
      </c>
      <c r="D14" s="474">
        <f t="shared" si="1"/>
        <v>6.4935064935064846E-2</v>
      </c>
      <c r="E14" s="475">
        <f>LN(D14/$C$3)/($C$5*SQRT($A14))+$C$5/2*SQRT($A14)</f>
        <v>2.6053109920171225</v>
      </c>
      <c r="F14" s="476">
        <f>NORMSDIST(-E14)</f>
        <v>4.5895451023734955E-3</v>
      </c>
      <c r="G14" s="407">
        <f>E14-$C$5*SQRT($A14)</f>
        <v>2.1053109920171225</v>
      </c>
      <c r="H14" s="476">
        <f>NORMSDIST(-G14)</f>
        <v>1.7632122956026557E-2</v>
      </c>
      <c r="I14" s="477">
        <f>$C$2*1*B15*($C$3*H14-D14*F14)</f>
        <v>420.57438404134552</v>
      </c>
      <c r="J14" s="406"/>
    </row>
    <row r="15" spans="1:10">
      <c r="A15" s="407">
        <v>5</v>
      </c>
      <c r="B15" s="484">
        <v>0.77</v>
      </c>
      <c r="C15" s="475">
        <f t="shared" si="0"/>
        <v>0.93506493506493504</v>
      </c>
      <c r="D15" s="474">
        <f t="shared" si="1"/>
        <v>6.944444444444442E-2</v>
      </c>
      <c r="E15" s="475">
        <f>LN(D15/$C$3)/($C$5*SQRT($A15))+$C$5/2*SQRT($A15)</f>
        <v>2.5062651277940811</v>
      </c>
      <c r="F15" s="476">
        <f>NORMSDIST(-E15)</f>
        <v>6.1007045428598666E-3</v>
      </c>
      <c r="G15" s="407">
        <f>E15-$C$5*SQRT($A15)</f>
        <v>1.9472481334191336</v>
      </c>
      <c r="H15" s="476">
        <f>NORMSDIST(-G15)</f>
        <v>2.5752496796521963E-2</v>
      </c>
      <c r="I15" s="477">
        <f>$C$2*1*B16*($C$3*H15-D15*F15)</f>
        <v>658.00726726923017</v>
      </c>
      <c r="J15" s="406"/>
    </row>
    <row r="16" spans="1:10">
      <c r="A16" s="407">
        <v>6</v>
      </c>
      <c r="B16" s="484">
        <v>0.72</v>
      </c>
      <c r="C16" s="407"/>
      <c r="D16" s="407"/>
      <c r="E16" s="407"/>
      <c r="F16" s="407"/>
      <c r="G16" s="407"/>
      <c r="H16" s="407"/>
      <c r="I16" s="407"/>
      <c r="J16" s="406"/>
    </row>
    <row r="17" spans="1:10">
      <c r="A17" s="406"/>
      <c r="B17" s="406"/>
      <c r="C17" s="406"/>
      <c r="D17" s="406"/>
      <c r="E17" s="406"/>
      <c r="F17" s="406"/>
      <c r="G17" s="406"/>
      <c r="H17" s="406"/>
      <c r="I17" s="406"/>
      <c r="J17" s="406"/>
    </row>
    <row r="18" spans="1:10">
      <c r="A18" s="406"/>
      <c r="B18" s="406"/>
      <c r="C18" s="406"/>
      <c r="D18" s="406"/>
      <c r="E18" s="406"/>
      <c r="F18" s="406"/>
      <c r="G18" s="406"/>
      <c r="H18" s="406" t="s">
        <v>157</v>
      </c>
      <c r="I18" s="478">
        <f>SUM(I11:I15)</f>
        <v>1330.6194409231307</v>
      </c>
      <c r="J18" s="406"/>
    </row>
  </sheetData>
  <phoneticPr fontId="0" type="noConversion"/>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B3" sqref="B3"/>
    </sheetView>
  </sheetViews>
  <sheetFormatPr baseColWidth="10" defaultRowHeight="12.75"/>
  <cols>
    <col min="1" max="1" width="19.42578125" customWidth="1"/>
    <col min="2" max="2" width="11.5703125" bestFit="1" customWidth="1"/>
    <col min="3" max="3" width="13.85546875" customWidth="1"/>
  </cols>
  <sheetData>
    <row r="1" spans="1:7">
      <c r="A1" s="443" t="s">
        <v>467</v>
      </c>
      <c r="B1" s="444"/>
      <c r="C1" s="444"/>
      <c r="D1" s="444"/>
      <c r="E1" s="444"/>
    </row>
    <row r="2" spans="1:7">
      <c r="A2" s="444"/>
      <c r="B2" s="444"/>
      <c r="C2" s="444"/>
      <c r="D2" s="444"/>
      <c r="E2" s="444"/>
    </row>
    <row r="3" spans="1:7">
      <c r="A3" s="444" t="s">
        <v>1</v>
      </c>
      <c r="B3" s="287">
        <v>1000000</v>
      </c>
      <c r="C3" s="444"/>
      <c r="D3" s="444"/>
      <c r="E3" s="444"/>
    </row>
    <row r="4" spans="1:7">
      <c r="A4" s="444" t="s">
        <v>468</v>
      </c>
      <c r="B4" s="8">
        <v>7.0000000000000007E-2</v>
      </c>
      <c r="C4" s="444"/>
      <c r="D4" s="444"/>
      <c r="E4" s="444"/>
    </row>
    <row r="5" spans="1:7">
      <c r="A5" s="444"/>
      <c r="B5" s="444"/>
      <c r="C5" s="444"/>
      <c r="D5" s="444"/>
      <c r="E5" s="444"/>
    </row>
    <row r="6" spans="1:7">
      <c r="A6" s="444" t="s">
        <v>471</v>
      </c>
      <c r="B6" s="74">
        <v>1</v>
      </c>
      <c r="C6" s="444"/>
      <c r="D6" s="444"/>
      <c r="E6" s="444"/>
      <c r="G6" s="405"/>
    </row>
    <row r="7" spans="1:7">
      <c r="A7" s="444" t="s">
        <v>469</v>
      </c>
      <c r="B7" s="74">
        <v>2</v>
      </c>
      <c r="C7" s="444"/>
      <c r="D7" s="444"/>
      <c r="E7" s="444"/>
    </row>
    <row r="8" spans="1:7">
      <c r="A8" s="444"/>
      <c r="B8" s="444"/>
      <c r="C8" s="444"/>
      <c r="D8" s="444"/>
      <c r="E8" s="444"/>
    </row>
    <row r="9" spans="1:7">
      <c r="A9" s="444" t="s">
        <v>452</v>
      </c>
      <c r="B9" s="6">
        <v>0.2</v>
      </c>
      <c r="C9" s="444"/>
      <c r="D9" s="444"/>
      <c r="E9" s="444"/>
    </row>
    <row r="10" spans="1:7">
      <c r="A10" s="444"/>
      <c r="B10" s="444"/>
      <c r="C10" s="444"/>
      <c r="D10" s="444"/>
      <c r="E10" s="444"/>
    </row>
    <row r="11" spans="1:7">
      <c r="A11" s="444" t="s">
        <v>11</v>
      </c>
      <c r="B11" s="6">
        <v>0.05</v>
      </c>
      <c r="C11" s="444" t="s">
        <v>476</v>
      </c>
      <c r="D11" s="444"/>
      <c r="E11" s="444"/>
    </row>
    <row r="12" spans="1:7">
      <c r="A12" s="445" t="s">
        <v>477</v>
      </c>
      <c r="B12" s="446">
        <v>0.05</v>
      </c>
      <c r="C12" s="444" t="s">
        <v>478</v>
      </c>
      <c r="D12" s="444"/>
      <c r="E12" s="444"/>
    </row>
    <row r="13" spans="1:7">
      <c r="A13" s="444" t="s">
        <v>470</v>
      </c>
      <c r="B13" s="403">
        <v>0.06</v>
      </c>
      <c r="C13" s="444"/>
      <c r="D13" s="444"/>
      <c r="E13" s="444"/>
    </row>
    <row r="14" spans="1:7">
      <c r="A14" s="444"/>
      <c r="B14" s="444"/>
      <c r="C14" s="444"/>
      <c r="D14" s="444"/>
      <c r="E14" s="444"/>
    </row>
    <row r="15" spans="1:7">
      <c r="A15" s="444"/>
      <c r="B15" s="444"/>
      <c r="C15" s="444"/>
      <c r="D15" s="444"/>
      <c r="E15" s="444"/>
    </row>
    <row r="16" spans="1:7">
      <c r="A16" s="445" t="s">
        <v>306</v>
      </c>
      <c r="B16" s="444">
        <f>LN(B13/B4)/(B9*SQRT(B6))+B9/2*SQRT(B6)</f>
        <v>-0.67075339913629251</v>
      </c>
      <c r="C16" s="445" t="s">
        <v>308</v>
      </c>
      <c r="D16" s="444">
        <f>NORMSDIST(B16)</f>
        <v>0.25118881943067783</v>
      </c>
      <c r="E16" s="444"/>
    </row>
    <row r="17" spans="1:5">
      <c r="A17" s="445" t="s">
        <v>307</v>
      </c>
      <c r="B17" s="444">
        <f>LN(B13/B4)/(B9*SQRT(B6))-B9/2*SQRT(B6)</f>
        <v>-0.87075339913629246</v>
      </c>
      <c r="C17" s="445" t="s">
        <v>309</v>
      </c>
      <c r="D17" s="444">
        <f>NORMSDIST(B17)</f>
        <v>0.19194440745711633</v>
      </c>
      <c r="E17" s="444"/>
    </row>
    <row r="18" spans="1:5">
      <c r="A18" s="444"/>
      <c r="B18" s="444"/>
      <c r="C18" s="444"/>
      <c r="D18" s="444"/>
      <c r="E18" s="444"/>
    </row>
    <row r="19" spans="1:5">
      <c r="A19" s="444"/>
      <c r="B19" s="444"/>
      <c r="C19" s="444"/>
      <c r="D19" s="444"/>
      <c r="E19" s="444"/>
    </row>
    <row r="20" spans="1:5">
      <c r="A20" s="443" t="s">
        <v>472</v>
      </c>
      <c r="B20" s="447">
        <f>B3*(B7-B6)*(EXP(-B7*B12)*(B13*NORMSDIST(B16)-B4*NORMSDIST(B17)))</f>
        <v>1479.6088252935688</v>
      </c>
      <c r="C20" s="444" t="s">
        <v>479</v>
      </c>
      <c r="D20" s="444"/>
      <c r="E20" s="444"/>
    </row>
    <row r="21" spans="1:5">
      <c r="A21" s="444"/>
      <c r="B21" s="444"/>
      <c r="C21" s="444"/>
      <c r="D21" s="444"/>
      <c r="E21" s="444"/>
    </row>
    <row r="22" spans="1:5">
      <c r="A22" s="443" t="s">
        <v>473</v>
      </c>
      <c r="B22" s="447">
        <f>B3*(B7-B6)*EXP(-B7*B12)*(B13*NORMSDIST(ROUND(B16,3))-B4*NORMSDIST(ROUND(B17,3)))</f>
        <v>1479.6087201290422</v>
      </c>
      <c r="C22" s="444" t="s">
        <v>474</v>
      </c>
      <c r="D22" s="444"/>
      <c r="E22" s="444"/>
    </row>
    <row r="23" spans="1:5">
      <c r="A23" s="444"/>
      <c r="B23" s="444"/>
      <c r="C23" s="444" t="s">
        <v>475</v>
      </c>
      <c r="D23" s="444"/>
      <c r="E23" s="444"/>
    </row>
    <row r="24" spans="1:5">
      <c r="A24" s="444"/>
      <c r="B24" s="444"/>
      <c r="C24" s="444"/>
      <c r="D24" s="444"/>
      <c r="E24" s="444"/>
    </row>
    <row r="25" spans="1:5">
      <c r="A25" s="444"/>
      <c r="B25" s="444"/>
      <c r="C25" s="444"/>
      <c r="D25" s="444"/>
      <c r="E25" s="444"/>
    </row>
    <row r="29" spans="1:5">
      <c r="C29" s="404"/>
    </row>
  </sheetData>
  <phoneticPr fontId="0" type="noConversion"/>
  <dataValidations count="1">
    <dataValidation type="whole" allowBlank="1" showInputMessage="1" showErrorMessage="1" sqref="B6:B7">
      <formula1>1</formula1>
      <formula2>1000</formula2>
    </dataValidation>
  </dataValidations>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8"/>
  <dimension ref="A1:W384"/>
  <sheetViews>
    <sheetView workbookViewId="0">
      <pane ySplit="12" topLeftCell="A13" activePane="bottomLeft" state="frozen"/>
      <selection activeCell="A4" sqref="A4"/>
      <selection pane="bottomLeft" activeCell="E3" sqref="E3"/>
    </sheetView>
  </sheetViews>
  <sheetFormatPr baseColWidth="10" defaultRowHeight="12.75"/>
  <cols>
    <col min="1" max="1" width="4.28515625" style="10" customWidth="1"/>
    <col min="2" max="2" width="8.5703125" style="11" customWidth="1"/>
    <col min="3" max="3" width="7.140625" style="11" customWidth="1"/>
    <col min="4" max="4" width="10.7109375" style="11" customWidth="1"/>
    <col min="5" max="5" width="13.140625" style="11" customWidth="1"/>
    <col min="6" max="6" width="10.5703125" style="11" customWidth="1"/>
    <col min="7" max="7" width="11.7109375" style="11" customWidth="1"/>
    <col min="8" max="8" width="9.5703125" style="11" customWidth="1"/>
    <col min="9" max="9" width="10.85546875" style="225" customWidth="1"/>
    <col min="10" max="10" width="10.85546875" style="11" customWidth="1"/>
    <col min="11" max="11" width="10.7109375" style="11" customWidth="1"/>
    <col min="12" max="12" width="11.28515625" style="11" customWidth="1"/>
    <col min="13" max="13" width="6" style="11" customWidth="1"/>
    <col min="14" max="14" width="9.28515625" style="11" customWidth="1"/>
    <col min="15" max="15" width="12.140625" style="11" customWidth="1"/>
    <col min="16" max="16" width="11" style="11" customWidth="1"/>
    <col min="17" max="17" width="11.140625" style="11" customWidth="1"/>
    <col min="18" max="18" width="11.7109375" style="11" customWidth="1"/>
    <col min="19" max="19" width="9.7109375" style="11" customWidth="1"/>
    <col min="20" max="21" width="11.42578125" style="11"/>
    <col min="22" max="22" width="13.140625" style="11" customWidth="1"/>
    <col min="23" max="16384" width="11.42578125" style="11"/>
  </cols>
  <sheetData>
    <row r="1" spans="1:23" ht="15.75">
      <c r="A1" s="520" t="s">
        <v>407</v>
      </c>
      <c r="B1" s="521"/>
      <c r="C1" s="521"/>
      <c r="D1" s="521"/>
      <c r="E1" s="521"/>
      <c r="F1" s="9"/>
      <c r="G1" s="9"/>
      <c r="H1" s="9"/>
      <c r="I1" s="180"/>
      <c r="J1" s="9"/>
      <c r="K1" s="10"/>
      <c r="L1" s="9"/>
      <c r="M1" s="9"/>
      <c r="N1" s="10"/>
      <c r="O1" s="10"/>
      <c r="P1" s="10"/>
      <c r="Q1" s="10"/>
      <c r="R1" s="10"/>
      <c r="S1" s="10"/>
      <c r="T1" s="10"/>
      <c r="U1" s="10"/>
      <c r="V1" s="10"/>
      <c r="W1" s="10"/>
    </row>
    <row r="2" spans="1:23">
      <c r="A2" s="17" t="s">
        <v>227</v>
      </c>
      <c r="B2" s="204"/>
      <c r="C2" s="204"/>
      <c r="D2" s="204"/>
      <c r="E2" s="205"/>
      <c r="F2" s="9"/>
      <c r="G2" s="9"/>
      <c r="H2" s="9"/>
      <c r="I2" s="180"/>
      <c r="J2" s="9"/>
      <c r="K2" s="10"/>
      <c r="L2" s="9"/>
      <c r="M2" s="9"/>
      <c r="N2" s="10"/>
      <c r="O2" s="10"/>
      <c r="P2" s="10"/>
      <c r="Q2" s="10"/>
      <c r="R2" s="10"/>
      <c r="S2" s="10"/>
      <c r="T2" s="10"/>
      <c r="U2" s="10"/>
      <c r="V2" s="10"/>
      <c r="W2" s="10"/>
    </row>
    <row r="3" spans="1:23">
      <c r="A3" s="17" t="s">
        <v>192</v>
      </c>
      <c r="B3" s="13"/>
      <c r="C3" s="13"/>
      <c r="D3" s="14"/>
      <c r="E3" s="206">
        <v>37944</v>
      </c>
      <c r="F3" s="9"/>
      <c r="G3" s="528" t="s">
        <v>193</v>
      </c>
      <c r="H3" s="528"/>
      <c r="I3" s="528"/>
      <c r="J3" s="207">
        <v>0</v>
      </c>
      <c r="K3" s="10"/>
      <c r="L3" s="9"/>
      <c r="M3" s="9"/>
      <c r="N3" s="10"/>
      <c r="O3" s="10"/>
      <c r="P3" s="10"/>
      <c r="Q3" s="10"/>
      <c r="R3" s="10"/>
      <c r="S3" s="10"/>
      <c r="T3" s="10"/>
      <c r="U3" s="10"/>
      <c r="V3" s="10"/>
      <c r="W3" s="10"/>
    </row>
    <row r="4" spans="1:23">
      <c r="A4" s="12" t="s">
        <v>17</v>
      </c>
      <c r="B4" s="13"/>
      <c r="C4" s="13"/>
      <c r="D4" s="14"/>
      <c r="E4" s="15">
        <v>1000000</v>
      </c>
      <c r="F4" s="9"/>
      <c r="G4" s="10"/>
      <c r="H4" s="10"/>
      <c r="I4" s="180"/>
      <c r="J4" s="10"/>
      <c r="K4" s="9"/>
      <c r="L4" s="10"/>
      <c r="M4" s="10"/>
      <c r="N4" s="10"/>
      <c r="O4" s="10"/>
      <c r="P4" s="10"/>
      <c r="Q4" s="10"/>
      <c r="R4" s="10"/>
      <c r="S4" s="10"/>
      <c r="T4" s="10"/>
      <c r="U4" s="10"/>
      <c r="V4" s="10"/>
      <c r="W4" s="10"/>
    </row>
    <row r="5" spans="1:23">
      <c r="A5" s="17" t="s">
        <v>194</v>
      </c>
      <c r="B5" s="13"/>
      <c r="C5" s="13"/>
      <c r="D5" s="14"/>
      <c r="E5" s="208">
        <v>3.6499999999999998E-2</v>
      </c>
      <c r="F5" s="9" t="s">
        <v>195</v>
      </c>
      <c r="G5" s="10"/>
      <c r="H5" s="10"/>
      <c r="I5" s="180"/>
      <c r="J5" s="10"/>
      <c r="K5" s="9"/>
      <c r="L5" s="10"/>
      <c r="M5" s="10"/>
      <c r="N5" s="10"/>
      <c r="O5" s="10"/>
      <c r="P5" s="10"/>
      <c r="Q5" s="10"/>
      <c r="R5" s="10"/>
      <c r="S5" s="10"/>
      <c r="T5" s="10"/>
      <c r="U5" s="10"/>
      <c r="V5" s="10"/>
      <c r="W5" s="10"/>
    </row>
    <row r="6" spans="1:23">
      <c r="A6" s="17" t="s">
        <v>196</v>
      </c>
      <c r="B6" s="13"/>
      <c r="C6" s="13"/>
      <c r="D6" s="14"/>
      <c r="E6" s="208">
        <v>2.198E-2</v>
      </c>
      <c r="F6" s="9"/>
      <c r="G6" s="209"/>
      <c r="H6" s="10"/>
      <c r="I6" s="180"/>
      <c r="J6" s="10"/>
      <c r="K6" s="9"/>
      <c r="L6" s="10"/>
      <c r="M6" s="10"/>
      <c r="N6" s="10"/>
      <c r="O6" s="10"/>
      <c r="P6" s="10"/>
      <c r="Q6" s="10"/>
      <c r="R6" s="10"/>
      <c r="S6" s="10"/>
      <c r="T6" s="10"/>
      <c r="U6" s="10"/>
      <c r="V6" s="10"/>
      <c r="W6" s="10"/>
    </row>
    <row r="7" spans="1:23">
      <c r="A7" s="17" t="s">
        <v>197</v>
      </c>
      <c r="B7" s="13"/>
      <c r="C7" s="13"/>
      <c r="D7" s="14"/>
      <c r="E7" s="210">
        <v>38126</v>
      </c>
      <c r="F7" s="9"/>
      <c r="G7" s="10"/>
      <c r="H7" s="10"/>
      <c r="I7" s="180"/>
      <c r="J7" s="10"/>
      <c r="K7" s="9"/>
      <c r="L7" s="10"/>
      <c r="M7" s="10"/>
      <c r="N7" s="10"/>
      <c r="O7" s="10"/>
      <c r="P7" s="10"/>
      <c r="Q7" s="10"/>
      <c r="R7" s="10"/>
      <c r="S7" s="10"/>
      <c r="T7" s="10"/>
      <c r="U7" s="10"/>
      <c r="V7" s="10"/>
      <c r="W7" s="10"/>
    </row>
    <row r="8" spans="1:23">
      <c r="A8" s="525" t="s">
        <v>198</v>
      </c>
      <c r="B8" s="526"/>
      <c r="C8" s="526"/>
      <c r="D8" s="527"/>
      <c r="E8" s="18">
        <v>4.5</v>
      </c>
      <c r="F8" s="9"/>
      <c r="G8" s="10"/>
      <c r="H8" s="10"/>
      <c r="I8" s="180"/>
      <c r="J8" s="10"/>
      <c r="K8" s="10"/>
      <c r="L8" s="10"/>
      <c r="M8" s="10"/>
      <c r="N8" s="10"/>
      <c r="O8" s="10"/>
      <c r="P8" s="10"/>
      <c r="Q8" s="10"/>
      <c r="R8" s="10"/>
      <c r="S8" s="10"/>
      <c r="T8" s="10"/>
      <c r="U8" s="10"/>
      <c r="V8" s="10"/>
      <c r="W8" s="10"/>
    </row>
    <row r="9" spans="1:23">
      <c r="A9" s="17" t="s">
        <v>199</v>
      </c>
      <c r="B9" s="13"/>
      <c r="C9" s="13"/>
      <c r="D9" s="14"/>
      <c r="E9" s="195">
        <f>(R13/E4-VLOOKUP(2*$E$8,$A$14:$D$41,4))/$D$42</f>
        <v>3.7199999999999962E-2</v>
      </c>
      <c r="F9" s="9"/>
      <c r="G9" s="10"/>
      <c r="H9" s="10"/>
      <c r="I9" s="180"/>
      <c r="J9" s="10"/>
      <c r="K9" s="10"/>
      <c r="L9" s="20"/>
      <c r="M9" s="20"/>
      <c r="N9" s="10"/>
      <c r="O9" s="10"/>
      <c r="P9" s="10"/>
      <c r="Q9" s="10"/>
      <c r="R9" s="10"/>
      <c r="S9" s="10"/>
      <c r="T9" s="10"/>
      <c r="U9" s="10"/>
      <c r="V9" s="10"/>
      <c r="W9" s="10"/>
    </row>
    <row r="10" spans="1:23">
      <c r="A10" s="9"/>
      <c r="B10" s="9"/>
      <c r="C10" s="9"/>
      <c r="D10" s="9"/>
      <c r="E10" s="9"/>
      <c r="F10" s="9"/>
      <c r="G10" s="10"/>
      <c r="H10" s="10"/>
      <c r="I10" s="180"/>
      <c r="J10" s="10"/>
      <c r="K10" s="10"/>
      <c r="L10" s="10"/>
      <c r="M10" s="10"/>
      <c r="N10" s="20"/>
      <c r="O10" s="21" t="s">
        <v>21</v>
      </c>
      <c r="P10" s="10"/>
      <c r="Q10" s="10"/>
      <c r="R10" s="10"/>
      <c r="S10" s="10"/>
      <c r="T10" s="10"/>
      <c r="U10" s="10"/>
      <c r="V10" s="10"/>
      <c r="W10" s="10"/>
    </row>
    <row r="11" spans="1:23" ht="13.5" thickBot="1">
      <c r="A11" s="21" t="s">
        <v>22</v>
      </c>
      <c r="B11" s="10"/>
      <c r="C11" s="10"/>
      <c r="D11" s="10"/>
      <c r="E11" s="10"/>
      <c r="F11" s="10"/>
      <c r="G11" s="10"/>
      <c r="H11" s="10"/>
      <c r="I11" s="180"/>
      <c r="J11" s="10"/>
      <c r="K11" s="10"/>
      <c r="L11" s="10"/>
      <c r="M11" s="10"/>
      <c r="N11" s="20"/>
      <c r="O11" s="522" t="s">
        <v>200</v>
      </c>
      <c r="P11" s="523"/>
      <c r="Q11" s="523"/>
      <c r="R11" s="523"/>
      <c r="S11" s="523"/>
      <c r="T11" s="524"/>
      <c r="U11" s="524"/>
      <c r="V11" s="10"/>
      <c r="W11" s="10"/>
    </row>
    <row r="12" spans="1:23" ht="56.25" customHeight="1">
      <c r="A12" s="211" t="s">
        <v>27</v>
      </c>
      <c r="B12" s="211" t="s">
        <v>28</v>
      </c>
      <c r="C12" s="22" t="s">
        <v>201</v>
      </c>
      <c r="D12" s="22" t="s">
        <v>30</v>
      </c>
      <c r="E12" s="22" t="s">
        <v>202</v>
      </c>
      <c r="F12" s="23" t="s">
        <v>203</v>
      </c>
      <c r="G12" s="212" t="s">
        <v>204</v>
      </c>
      <c r="H12" s="212" t="s">
        <v>205</v>
      </c>
      <c r="I12" s="24" t="s">
        <v>206</v>
      </c>
      <c r="J12" s="24" t="s">
        <v>207</v>
      </c>
      <c r="K12" s="24" t="s">
        <v>188</v>
      </c>
      <c r="L12" s="24" t="s">
        <v>189</v>
      </c>
      <c r="M12" s="25" t="s">
        <v>35</v>
      </c>
      <c r="N12" s="26" t="s">
        <v>28</v>
      </c>
      <c r="O12" s="23" t="s">
        <v>190</v>
      </c>
      <c r="P12" s="27" t="s">
        <v>10</v>
      </c>
      <c r="Q12" s="23" t="s">
        <v>38</v>
      </c>
      <c r="R12" s="213" t="s">
        <v>10</v>
      </c>
      <c r="S12" s="214" t="s">
        <v>28</v>
      </c>
      <c r="T12" s="215" t="s">
        <v>39</v>
      </c>
      <c r="U12" s="216" t="s">
        <v>40</v>
      </c>
      <c r="V12" s="10"/>
    </row>
    <row r="13" spans="1:23" ht="12.75" customHeight="1">
      <c r="A13" s="217">
        <v>0</v>
      </c>
      <c r="B13" s="30">
        <f t="shared" ref="B13:B41" si="0">IF(A13=" "," ",IF(WEEKDAY(EDATE($E$7,6*A13))=7,EDATE($E$7,6*A13)+2,IF(WEEKDAY(EDATE($E$7,6*A13))=1,EDATE($E$7,6*A13)+1,EDATE($E$7,6*A13))))</f>
        <v>38126</v>
      </c>
      <c r="C13" s="53">
        <f t="shared" ref="C13:C41" si="1">IF(A13=" "," ",DAYS360($B$13,B13)/360)</f>
        <v>0</v>
      </c>
      <c r="D13" s="33">
        <f>Zinssatz!F32</f>
        <v>0.98901001086921991</v>
      </c>
      <c r="E13" s="218">
        <f>E6</f>
        <v>2.198E-2</v>
      </c>
      <c r="F13" s="35">
        <f>IF(A13=" "," ",IF(MOD(A13,2)=MOD(2*$E$8,2),-$E$5*$E$4*DAYS360(E3,B13)/360,0))</f>
        <v>0</v>
      </c>
      <c r="G13" s="36">
        <f t="shared" ref="G13:G41" si="2">IF(A13=" "," ",F13*D13)</f>
        <v>0</v>
      </c>
      <c r="H13" s="219" t="str">
        <f>IF(G13&lt;&gt;0,DAYS360($E$3,B13)/360," ")</f>
        <v xml:space="preserve"> </v>
      </c>
      <c r="I13" s="36">
        <f>IF(A13=" "," ",E13*(B13-E3)/360*$E$4)</f>
        <v>11112.111111111111</v>
      </c>
      <c r="J13" s="35">
        <f t="shared" ref="J13:J41" si="3">IF(C13=" "," ",I13*D13)</f>
        <v>10989.989130779979</v>
      </c>
      <c r="K13" s="35">
        <f t="shared" ref="K13:K41" si="4">IF(C13=" "," ",F13+I13)</f>
        <v>11112.111111111111</v>
      </c>
      <c r="L13" s="35">
        <f t="shared" ref="L13:L41" si="5">IF(C13=" "," ",K13*D13)</f>
        <v>10989.989130779979</v>
      </c>
      <c r="M13" s="25"/>
      <c r="N13" s="359">
        <f>B13</f>
        <v>38126</v>
      </c>
      <c r="O13" s="35">
        <f t="shared" ref="O13:O41" si="6">IF(A13=" "," ",F13+IF(A13=2*$E$8,-$E$4,0))</f>
        <v>0</v>
      </c>
      <c r="P13" s="35">
        <f t="shared" ref="P13:P41" si="7">IF(A13=" ","", O13*D13)</f>
        <v>0</v>
      </c>
      <c r="Q13" s="54">
        <f>E4*(1+E6*(B13-E3)/360)</f>
        <v>1011112.1111111112</v>
      </c>
      <c r="R13" s="220">
        <f>Q13*D13</f>
        <v>1000000</v>
      </c>
      <c r="S13" s="46">
        <f t="shared" ref="S13:S41" si="8">B13</f>
        <v>38126</v>
      </c>
      <c r="T13" s="47">
        <f t="shared" ref="T13:T41" si="9">IF(C13=" "," ",Q13+O13)</f>
        <v>1011112.1111111112</v>
      </c>
      <c r="U13" s="42">
        <f t="shared" ref="U13:U41" si="10">IF(C13=" "," ",R13+P13)</f>
        <v>1000000</v>
      </c>
      <c r="V13" s="10"/>
    </row>
    <row r="14" spans="1:23" ht="12.75" customHeight="1">
      <c r="A14" s="221">
        <f t="shared" ref="A14:A41" si="11">IF(A13=" "," ",IF($E$8&gt;A13/2,A13+1," "))</f>
        <v>1</v>
      </c>
      <c r="B14" s="30">
        <f t="shared" si="0"/>
        <v>38310</v>
      </c>
      <c r="C14" s="53">
        <f t="shared" si="1"/>
        <v>0.5</v>
      </c>
      <c r="D14" s="33">
        <f>Zinssatz!F36</f>
        <v>0.97671431675984799</v>
      </c>
      <c r="E14" s="218">
        <f t="shared" ref="E14:E40" si="12">IF(A14=" "," ",(D13/D14-1)/(B14-B13)*360)</f>
        <v>2.4630326810904258E-2</v>
      </c>
      <c r="F14" s="35">
        <f>IF(A14=" "," ",IF(MOD(A14,2)=MOD(2*$E$8,2),-$E$5*$E$4*DAYS360(E3,B14)/360,0))</f>
        <v>-36500</v>
      </c>
      <c r="G14" s="36">
        <f t="shared" si="2"/>
        <v>-35650.072561734451</v>
      </c>
      <c r="H14" s="219">
        <f>IF(AND(G14&lt;&gt;0,A14&lt;=2*E8),DAYS360($E$3,B14)/360," ")</f>
        <v>1</v>
      </c>
      <c r="I14" s="36">
        <f t="shared" ref="I14:I40" si="13">IF(A14=" "," ",E14*(B14-B13)/360*$E$4)</f>
        <v>12588.833703351065</v>
      </c>
      <c r="J14" s="35">
        <f t="shared" si="3"/>
        <v>12295.694109371883</v>
      </c>
      <c r="K14" s="35">
        <f t="shared" si="4"/>
        <v>-23911.166296648935</v>
      </c>
      <c r="L14" s="35">
        <f t="shared" si="5"/>
        <v>-23354.378452362569</v>
      </c>
      <c r="M14" s="43">
        <f>$E$9</f>
        <v>3.7199999999999962E-2</v>
      </c>
      <c r="N14" s="359">
        <f t="shared" ref="N14:N41" si="14">B14</f>
        <v>38310</v>
      </c>
      <c r="O14" s="35">
        <f t="shared" si="6"/>
        <v>-36500</v>
      </c>
      <c r="P14" s="35">
        <f t="shared" si="7"/>
        <v>-35650.072561734451</v>
      </c>
      <c r="Q14" s="44"/>
      <c r="R14" s="45"/>
      <c r="S14" s="46">
        <f t="shared" si="8"/>
        <v>38310</v>
      </c>
      <c r="T14" s="47">
        <f t="shared" si="9"/>
        <v>-36500</v>
      </c>
      <c r="U14" s="42">
        <f t="shared" si="10"/>
        <v>-35650.072561734451</v>
      </c>
      <c r="V14" s="10"/>
    </row>
    <row r="15" spans="1:23">
      <c r="A15" s="221">
        <f t="shared" si="11"/>
        <v>2</v>
      </c>
      <c r="B15" s="30">
        <f t="shared" si="0"/>
        <v>38491</v>
      </c>
      <c r="C15" s="53">
        <f t="shared" si="1"/>
        <v>1</v>
      </c>
      <c r="D15" s="33">
        <f>Zinssatz!F40</f>
        <v>0.96231179094021346</v>
      </c>
      <c r="E15" s="218">
        <f t="shared" si="12"/>
        <v>2.9767802885977596E-2</v>
      </c>
      <c r="F15" s="35">
        <f t="shared" ref="F15:F40" si="15">IF(A15=" "," ",IF(MOD(A15,2)=MOD(2*$E$8,2),-$E$5*$E$4*(C15-C13),0))</f>
        <v>0</v>
      </c>
      <c r="G15" s="36">
        <f t="shared" si="2"/>
        <v>0</v>
      </c>
      <c r="H15" s="219" t="str">
        <f>IF(G15&lt;&gt;0,DAYS360(B13,B15)/360," ")</f>
        <v xml:space="preserve"> </v>
      </c>
      <c r="I15" s="36">
        <f t="shared" si="13"/>
        <v>14966.589784338736</v>
      </c>
      <c r="J15" s="35">
        <f t="shared" si="3"/>
        <v>14402.525819634511</v>
      </c>
      <c r="K15" s="35">
        <f t="shared" si="4"/>
        <v>14966.589784338736</v>
      </c>
      <c r="L15" s="35">
        <f t="shared" si="5"/>
        <v>14402.525819634511</v>
      </c>
      <c r="M15" s="43"/>
      <c r="N15" s="359">
        <f t="shared" si="14"/>
        <v>38491</v>
      </c>
      <c r="O15" s="35">
        <f t="shared" si="6"/>
        <v>0</v>
      </c>
      <c r="P15" s="35">
        <f t="shared" si="7"/>
        <v>0</v>
      </c>
      <c r="Q15" s="50"/>
      <c r="R15" s="45"/>
      <c r="S15" s="46">
        <f t="shared" si="8"/>
        <v>38491</v>
      </c>
      <c r="T15" s="47">
        <f t="shared" si="9"/>
        <v>0</v>
      </c>
      <c r="U15" s="42">
        <f t="shared" si="10"/>
        <v>0</v>
      </c>
      <c r="V15" s="10"/>
    </row>
    <row r="16" spans="1:23">
      <c r="A16" s="221">
        <f t="shared" si="11"/>
        <v>3</v>
      </c>
      <c r="B16" s="30">
        <f t="shared" si="0"/>
        <v>38677</v>
      </c>
      <c r="C16" s="53">
        <f t="shared" si="1"/>
        <v>1.5055555555555555</v>
      </c>
      <c r="D16" s="33">
        <f>Zinssatz!F44</f>
        <v>0.94564141779671684</v>
      </c>
      <c r="E16" s="218">
        <f t="shared" si="12"/>
        <v>3.4119950474914167E-2</v>
      </c>
      <c r="F16" s="35">
        <f t="shared" si="15"/>
        <v>-36702.777777777774</v>
      </c>
      <c r="G16" s="36">
        <f t="shared" si="2"/>
        <v>-34707.666814855605</v>
      </c>
      <c r="H16" s="219">
        <f t="shared" ref="H16:H40" si="16">IF(AND(G16&lt;&gt;0,A16&lt;=2*$E$8),DAYS360(B14,B16)/360," ")</f>
        <v>1.0055555555555555</v>
      </c>
      <c r="I16" s="36">
        <f t="shared" si="13"/>
        <v>17628.641078705652</v>
      </c>
      <c r="J16" s="35">
        <f t="shared" si="3"/>
        <v>16670.373143496658</v>
      </c>
      <c r="K16" s="35">
        <f t="shared" si="4"/>
        <v>-19074.136699072122</v>
      </c>
      <c r="L16" s="35">
        <f t="shared" si="5"/>
        <v>-18037.293671358952</v>
      </c>
      <c r="M16" s="43">
        <f>$E$9</f>
        <v>3.7199999999999962E-2</v>
      </c>
      <c r="N16" s="359">
        <f t="shared" si="14"/>
        <v>38677</v>
      </c>
      <c r="O16" s="35">
        <f t="shared" si="6"/>
        <v>-36702.777777777774</v>
      </c>
      <c r="P16" s="35">
        <f t="shared" si="7"/>
        <v>-34707.666814855605</v>
      </c>
      <c r="Q16" s="51"/>
      <c r="R16" s="52"/>
      <c r="S16" s="46">
        <f t="shared" si="8"/>
        <v>38677</v>
      </c>
      <c r="T16" s="47">
        <f t="shared" si="9"/>
        <v>-36702.777777777774</v>
      </c>
      <c r="U16" s="42">
        <f t="shared" si="10"/>
        <v>-34707.666814855605</v>
      </c>
      <c r="V16" s="10"/>
    </row>
    <row r="17" spans="1:22">
      <c r="A17" s="221">
        <f t="shared" si="11"/>
        <v>4</v>
      </c>
      <c r="B17" s="30">
        <f t="shared" si="0"/>
        <v>38856</v>
      </c>
      <c r="C17" s="53">
        <f t="shared" si="1"/>
        <v>2</v>
      </c>
      <c r="D17" s="33">
        <f>Zinssatz!F48</f>
        <v>0.92858671363180334</v>
      </c>
      <c r="E17" s="218">
        <f t="shared" si="12"/>
        <v>3.6937814401278558E-2</v>
      </c>
      <c r="F17" s="35">
        <f t="shared" si="15"/>
        <v>0</v>
      </c>
      <c r="G17" s="36">
        <f t="shared" si="2"/>
        <v>0</v>
      </c>
      <c r="H17" s="219" t="str">
        <f t="shared" si="16"/>
        <v xml:space="preserve"> </v>
      </c>
      <c r="I17" s="36">
        <f t="shared" si="13"/>
        <v>18366.302160635729</v>
      </c>
      <c r="J17" s="35">
        <f t="shared" si="3"/>
        <v>17054.704164913419</v>
      </c>
      <c r="K17" s="35">
        <f t="shared" si="4"/>
        <v>18366.302160635729</v>
      </c>
      <c r="L17" s="35">
        <f t="shared" si="5"/>
        <v>17054.704164913419</v>
      </c>
      <c r="M17" s="43"/>
      <c r="N17" s="359">
        <f t="shared" si="14"/>
        <v>38856</v>
      </c>
      <c r="O17" s="35">
        <f t="shared" si="6"/>
        <v>0</v>
      </c>
      <c r="P17" s="35">
        <f t="shared" si="7"/>
        <v>0</v>
      </c>
      <c r="Q17" s="51"/>
      <c r="R17" s="52"/>
      <c r="S17" s="46">
        <f t="shared" si="8"/>
        <v>38856</v>
      </c>
      <c r="T17" s="47">
        <f t="shared" si="9"/>
        <v>0</v>
      </c>
      <c r="U17" s="42">
        <f t="shared" si="10"/>
        <v>0</v>
      </c>
      <c r="V17" s="10"/>
    </row>
    <row r="18" spans="1:22">
      <c r="A18" s="221">
        <f t="shared" si="11"/>
        <v>5</v>
      </c>
      <c r="B18" s="30">
        <f t="shared" si="0"/>
        <v>39041</v>
      </c>
      <c r="C18" s="53">
        <f t="shared" si="1"/>
        <v>2.5027777777777778</v>
      </c>
      <c r="D18" s="33">
        <f>Zinssatz!F52</f>
        <v>0.90957443724748621</v>
      </c>
      <c r="E18" s="218">
        <f t="shared" si="12"/>
        <v>4.0674914155705448E-2</v>
      </c>
      <c r="F18" s="35">
        <f t="shared" si="15"/>
        <v>-36398.611111111109</v>
      </c>
      <c r="G18" s="36">
        <f t="shared" si="2"/>
        <v>-33107.246217978987</v>
      </c>
      <c r="H18" s="219">
        <f t="shared" si="16"/>
        <v>0.99722222222222223</v>
      </c>
      <c r="I18" s="36">
        <f t="shared" si="13"/>
        <v>20902.386441126411</v>
      </c>
      <c r="J18" s="35">
        <f t="shared" si="3"/>
        <v>19012.276384317043</v>
      </c>
      <c r="K18" s="35">
        <f t="shared" si="4"/>
        <v>-15496.224669984698</v>
      </c>
      <c r="L18" s="35">
        <f t="shared" si="5"/>
        <v>-14094.969833661944</v>
      </c>
      <c r="M18" s="43">
        <f>$E$9</f>
        <v>3.7199999999999962E-2</v>
      </c>
      <c r="N18" s="359">
        <f t="shared" si="14"/>
        <v>39041</v>
      </c>
      <c r="O18" s="35">
        <f t="shared" si="6"/>
        <v>-36398.611111111109</v>
      </c>
      <c r="P18" s="35">
        <f t="shared" si="7"/>
        <v>-33107.246217978987</v>
      </c>
      <c r="Q18" s="51"/>
      <c r="R18" s="52"/>
      <c r="S18" s="46">
        <f t="shared" si="8"/>
        <v>39041</v>
      </c>
      <c r="T18" s="47">
        <f t="shared" si="9"/>
        <v>-36398.611111111109</v>
      </c>
      <c r="U18" s="42">
        <f t="shared" si="10"/>
        <v>-33107.246217978987</v>
      </c>
      <c r="V18" s="10"/>
    </row>
    <row r="19" spans="1:22">
      <c r="A19" s="221">
        <f t="shared" si="11"/>
        <v>6</v>
      </c>
      <c r="B19" s="30">
        <f t="shared" si="0"/>
        <v>39223</v>
      </c>
      <c r="C19" s="53">
        <f t="shared" si="1"/>
        <v>3.0055555555555555</v>
      </c>
      <c r="D19" s="33">
        <f>Zinssatz!F56</f>
        <v>0.89063235259360896</v>
      </c>
      <c r="E19" s="218">
        <f t="shared" si="12"/>
        <v>4.2068828564123091E-2</v>
      </c>
      <c r="F19" s="35">
        <f t="shared" si="15"/>
        <v>0</v>
      </c>
      <c r="G19" s="36">
        <f t="shared" si="2"/>
        <v>0</v>
      </c>
      <c r="H19" s="219" t="str">
        <f t="shared" si="16"/>
        <v xml:space="preserve"> </v>
      </c>
      <c r="I19" s="36">
        <f t="shared" si="13"/>
        <v>21268.129996306674</v>
      </c>
      <c r="J19" s="35">
        <f t="shared" si="3"/>
        <v>18942.084653877318</v>
      </c>
      <c r="K19" s="35">
        <f t="shared" si="4"/>
        <v>21268.129996306674</v>
      </c>
      <c r="L19" s="35">
        <f t="shared" si="5"/>
        <v>18942.084653877318</v>
      </c>
      <c r="M19" s="43"/>
      <c r="N19" s="359">
        <f t="shared" si="14"/>
        <v>39223</v>
      </c>
      <c r="O19" s="35">
        <f t="shared" si="6"/>
        <v>0</v>
      </c>
      <c r="P19" s="35">
        <f t="shared" si="7"/>
        <v>0</v>
      </c>
      <c r="Q19" s="51"/>
      <c r="R19" s="52"/>
      <c r="S19" s="46">
        <f t="shared" si="8"/>
        <v>39223</v>
      </c>
      <c r="T19" s="47">
        <f t="shared" si="9"/>
        <v>0</v>
      </c>
      <c r="U19" s="42">
        <f t="shared" si="10"/>
        <v>0</v>
      </c>
      <c r="V19" s="10"/>
    </row>
    <row r="20" spans="1:22">
      <c r="A20" s="221">
        <f t="shared" si="11"/>
        <v>7</v>
      </c>
      <c r="B20" s="30">
        <f t="shared" si="0"/>
        <v>39405</v>
      </c>
      <c r="C20" s="53">
        <f t="shared" si="1"/>
        <v>3.5</v>
      </c>
      <c r="D20" s="33">
        <f>Zinssatz!F60</f>
        <v>0.87076517699785494</v>
      </c>
      <c r="E20" s="218">
        <f t="shared" si="12"/>
        <v>4.5130089038597707E-2</v>
      </c>
      <c r="F20" s="35">
        <f t="shared" si="15"/>
        <v>-36398.611111111109</v>
      </c>
      <c r="G20" s="36">
        <f t="shared" si="2"/>
        <v>-31694.643046642756</v>
      </c>
      <c r="H20" s="219">
        <f t="shared" si="16"/>
        <v>0.99722222222222223</v>
      </c>
      <c r="I20" s="36">
        <f t="shared" si="13"/>
        <v>22815.767236179952</v>
      </c>
      <c r="J20" s="35">
        <f t="shared" si="3"/>
        <v>19867.175595754095</v>
      </c>
      <c r="K20" s="35">
        <f t="shared" si="4"/>
        <v>-13582.843874931157</v>
      </c>
      <c r="L20" s="35">
        <f t="shared" si="5"/>
        <v>-11827.467450888658</v>
      </c>
      <c r="M20" s="43">
        <f>$E$9</f>
        <v>3.7199999999999962E-2</v>
      </c>
      <c r="N20" s="359">
        <f t="shared" si="14"/>
        <v>39405</v>
      </c>
      <c r="O20" s="35">
        <f t="shared" si="6"/>
        <v>-36398.611111111109</v>
      </c>
      <c r="P20" s="35">
        <f t="shared" si="7"/>
        <v>-31694.643046642756</v>
      </c>
      <c r="Q20" s="51"/>
      <c r="R20" s="52"/>
      <c r="S20" s="46">
        <f t="shared" si="8"/>
        <v>39405</v>
      </c>
      <c r="T20" s="47">
        <f t="shared" si="9"/>
        <v>-36398.611111111109</v>
      </c>
      <c r="U20" s="42">
        <f t="shared" si="10"/>
        <v>-31694.643046642756</v>
      </c>
      <c r="V20" s="10"/>
    </row>
    <row r="21" spans="1:22">
      <c r="A21" s="221">
        <f t="shared" si="11"/>
        <v>8</v>
      </c>
      <c r="B21" s="30">
        <f t="shared" si="0"/>
        <v>39587</v>
      </c>
      <c r="C21" s="53">
        <f t="shared" si="1"/>
        <v>4</v>
      </c>
      <c r="D21" s="33">
        <f>Zinssatz!F64</f>
        <v>0.85142153860992464</v>
      </c>
      <c r="E21" s="218">
        <f t="shared" si="12"/>
        <v>4.4939128423629855E-2</v>
      </c>
      <c r="F21" s="35">
        <f t="shared" si="15"/>
        <v>0</v>
      </c>
      <c r="G21" s="36">
        <f t="shared" si="2"/>
        <v>0</v>
      </c>
      <c r="H21" s="219" t="str">
        <f t="shared" si="16"/>
        <v xml:space="preserve"> </v>
      </c>
      <c r="I21" s="36">
        <f t="shared" si="13"/>
        <v>22719.22603639065</v>
      </c>
      <c r="J21" s="222">
        <f t="shared" si="3"/>
        <v>19343.638387930387</v>
      </c>
      <c r="K21" s="35">
        <f t="shared" si="4"/>
        <v>22719.22603639065</v>
      </c>
      <c r="L21" s="35">
        <f t="shared" si="5"/>
        <v>19343.638387930387</v>
      </c>
      <c r="M21" s="43"/>
      <c r="N21" s="359">
        <f t="shared" si="14"/>
        <v>39587</v>
      </c>
      <c r="O21" s="35">
        <f t="shared" si="6"/>
        <v>0</v>
      </c>
      <c r="P21" s="35">
        <f t="shared" si="7"/>
        <v>0</v>
      </c>
      <c r="Q21" s="51"/>
      <c r="R21" s="52"/>
      <c r="S21" s="46">
        <f t="shared" si="8"/>
        <v>39587</v>
      </c>
      <c r="T21" s="47">
        <f t="shared" si="9"/>
        <v>0</v>
      </c>
      <c r="U21" s="42">
        <f t="shared" si="10"/>
        <v>0</v>
      </c>
      <c r="V21" s="10"/>
    </row>
    <row r="22" spans="1:22">
      <c r="A22" s="221">
        <f t="shared" si="11"/>
        <v>9</v>
      </c>
      <c r="B22" s="30">
        <f t="shared" si="0"/>
        <v>39771</v>
      </c>
      <c r="C22" s="53">
        <f t="shared" si="1"/>
        <v>4.5</v>
      </c>
      <c r="D22" s="33">
        <f>Zinssatz!F68</f>
        <v>0.83132305138034768</v>
      </c>
      <c r="E22" s="218">
        <f t="shared" si="12"/>
        <v>4.7301860718296958E-2</v>
      </c>
      <c r="F22" s="35">
        <f t="shared" si="15"/>
        <v>-36500</v>
      </c>
      <c r="G22" s="36">
        <f t="shared" si="2"/>
        <v>-30343.291375382691</v>
      </c>
      <c r="H22" s="219">
        <f t="shared" si="16"/>
        <v>1</v>
      </c>
      <c r="I22" s="36">
        <f t="shared" si="13"/>
        <v>24176.506589351775</v>
      </c>
      <c r="J22" s="35">
        <f t="shared" si="3"/>
        <v>20098.487229577</v>
      </c>
      <c r="K22" s="35">
        <f t="shared" si="4"/>
        <v>-12323.493410648225</v>
      </c>
      <c r="L22" s="35">
        <f t="shared" si="5"/>
        <v>-10244.80414580569</v>
      </c>
      <c r="M22" s="43">
        <f>$E$9</f>
        <v>3.7199999999999962E-2</v>
      </c>
      <c r="N22" s="359">
        <f t="shared" si="14"/>
        <v>39771</v>
      </c>
      <c r="O22" s="35">
        <f t="shared" si="6"/>
        <v>-1036500</v>
      </c>
      <c r="P22" s="35">
        <f t="shared" si="7"/>
        <v>-861666.34275573038</v>
      </c>
      <c r="Q22" s="51"/>
      <c r="R22" s="52"/>
      <c r="S22" s="46">
        <f t="shared" si="8"/>
        <v>39771</v>
      </c>
      <c r="T22" s="47">
        <f t="shared" si="9"/>
        <v>-1036500</v>
      </c>
      <c r="U22" s="42">
        <f t="shared" si="10"/>
        <v>-861666.34275573038</v>
      </c>
      <c r="V22" s="10"/>
    </row>
    <row r="23" spans="1:22">
      <c r="A23" s="221" t="str">
        <f t="shared" si="11"/>
        <v xml:space="preserve"> </v>
      </c>
      <c r="B23" s="30" t="str">
        <f t="shared" si="0"/>
        <v xml:space="preserve"> </v>
      </c>
      <c r="C23" s="53" t="str">
        <f t="shared" si="1"/>
        <v xml:space="preserve"> </v>
      </c>
      <c r="D23" s="33">
        <f>Zinssatz!F72</f>
        <v>0.81162021393835204</v>
      </c>
      <c r="E23" s="218" t="str">
        <f t="shared" si="12"/>
        <v xml:space="preserve"> </v>
      </c>
      <c r="F23" s="35" t="str">
        <f t="shared" si="15"/>
        <v xml:space="preserve"> </v>
      </c>
      <c r="G23" s="36" t="str">
        <f t="shared" si="2"/>
        <v xml:space="preserve"> </v>
      </c>
      <c r="H23" s="219" t="str">
        <f t="shared" si="16"/>
        <v xml:space="preserve"> </v>
      </c>
      <c r="I23" s="36" t="str">
        <f t="shared" si="13"/>
        <v xml:space="preserve"> </v>
      </c>
      <c r="J23" s="35" t="str">
        <f t="shared" si="3"/>
        <v xml:space="preserve"> </v>
      </c>
      <c r="K23" s="35" t="str">
        <f t="shared" si="4"/>
        <v xml:space="preserve"> </v>
      </c>
      <c r="L23" s="35" t="str">
        <f t="shared" si="5"/>
        <v xml:space="preserve"> </v>
      </c>
      <c r="M23" s="43"/>
      <c r="N23" s="359" t="str">
        <f t="shared" si="14"/>
        <v xml:space="preserve"> </v>
      </c>
      <c r="O23" s="35" t="str">
        <f t="shared" si="6"/>
        <v xml:space="preserve"> </v>
      </c>
      <c r="P23" s="35" t="str">
        <f t="shared" si="7"/>
        <v/>
      </c>
      <c r="Q23" s="51"/>
      <c r="R23" s="52"/>
      <c r="S23" s="46" t="str">
        <f t="shared" si="8"/>
        <v xml:space="preserve"> </v>
      </c>
      <c r="T23" s="47" t="str">
        <f t="shared" si="9"/>
        <v xml:space="preserve"> </v>
      </c>
      <c r="U23" s="42" t="str">
        <f t="shared" si="10"/>
        <v xml:space="preserve"> </v>
      </c>
      <c r="V23" s="10"/>
    </row>
    <row r="24" spans="1:22">
      <c r="A24" s="221" t="str">
        <f t="shared" si="11"/>
        <v xml:space="preserve"> </v>
      </c>
      <c r="B24" s="30" t="str">
        <f t="shared" si="0"/>
        <v xml:space="preserve"> </v>
      </c>
      <c r="C24" s="53" t="str">
        <f t="shared" si="1"/>
        <v xml:space="preserve"> </v>
      </c>
      <c r="D24" s="33">
        <f>Zinssatz!F76</f>
        <v>0.79123787358425079</v>
      </c>
      <c r="E24" s="218" t="str">
        <f t="shared" si="12"/>
        <v xml:space="preserve"> </v>
      </c>
      <c r="F24" s="35" t="str">
        <f t="shared" si="15"/>
        <v xml:space="preserve"> </v>
      </c>
      <c r="G24" s="36" t="str">
        <f t="shared" si="2"/>
        <v xml:space="preserve"> </v>
      </c>
      <c r="H24" s="219" t="str">
        <f t="shared" si="16"/>
        <v xml:space="preserve"> </v>
      </c>
      <c r="I24" s="36" t="str">
        <f t="shared" si="13"/>
        <v xml:space="preserve"> </v>
      </c>
      <c r="J24" s="35" t="str">
        <f t="shared" si="3"/>
        <v xml:space="preserve"> </v>
      </c>
      <c r="K24" s="35" t="str">
        <f t="shared" si="4"/>
        <v xml:space="preserve"> </v>
      </c>
      <c r="L24" s="35" t="str">
        <f t="shared" si="5"/>
        <v xml:space="preserve"> </v>
      </c>
      <c r="M24" s="43">
        <f>$E$9</f>
        <v>3.7199999999999962E-2</v>
      </c>
      <c r="N24" s="359" t="str">
        <f t="shared" si="14"/>
        <v xml:space="preserve"> </v>
      </c>
      <c r="O24" s="35" t="str">
        <f t="shared" si="6"/>
        <v xml:space="preserve"> </v>
      </c>
      <c r="P24" s="35" t="str">
        <f t="shared" si="7"/>
        <v/>
      </c>
      <c r="Q24" s="51"/>
      <c r="R24" s="52"/>
      <c r="S24" s="46" t="str">
        <f t="shared" si="8"/>
        <v xml:space="preserve"> </v>
      </c>
      <c r="T24" s="47" t="str">
        <f t="shared" si="9"/>
        <v xml:space="preserve"> </v>
      </c>
      <c r="U24" s="42" t="str">
        <f t="shared" si="10"/>
        <v xml:space="preserve"> </v>
      </c>
      <c r="V24" s="10"/>
    </row>
    <row r="25" spans="1:22">
      <c r="A25" s="221" t="str">
        <f t="shared" si="11"/>
        <v xml:space="preserve"> </v>
      </c>
      <c r="B25" s="30" t="str">
        <f t="shared" si="0"/>
        <v xml:space="preserve"> </v>
      </c>
      <c r="C25" s="53" t="str">
        <f t="shared" si="1"/>
        <v xml:space="preserve"> </v>
      </c>
      <c r="D25" s="33">
        <f>Zinssatz!F80</f>
        <v>0.7718737030156908</v>
      </c>
      <c r="E25" s="218" t="str">
        <f t="shared" si="12"/>
        <v xml:space="preserve"> </v>
      </c>
      <c r="F25" s="35" t="str">
        <f t="shared" si="15"/>
        <v xml:space="preserve"> </v>
      </c>
      <c r="G25" s="36" t="str">
        <f t="shared" si="2"/>
        <v xml:space="preserve"> </v>
      </c>
      <c r="H25" s="219" t="str">
        <f t="shared" si="16"/>
        <v xml:space="preserve"> </v>
      </c>
      <c r="I25" s="36" t="str">
        <f t="shared" si="13"/>
        <v xml:space="preserve"> </v>
      </c>
      <c r="J25" s="35" t="str">
        <f t="shared" si="3"/>
        <v xml:space="preserve"> </v>
      </c>
      <c r="K25" s="35" t="str">
        <f t="shared" si="4"/>
        <v xml:space="preserve"> </v>
      </c>
      <c r="L25" s="35" t="str">
        <f t="shared" si="5"/>
        <v xml:space="preserve"> </v>
      </c>
      <c r="M25" s="43"/>
      <c r="N25" s="359" t="str">
        <f t="shared" si="14"/>
        <v xml:space="preserve"> </v>
      </c>
      <c r="O25" s="35" t="str">
        <f t="shared" si="6"/>
        <v xml:space="preserve"> </v>
      </c>
      <c r="P25" s="35" t="str">
        <f t="shared" si="7"/>
        <v/>
      </c>
      <c r="Q25" s="51"/>
      <c r="R25" s="52"/>
      <c r="S25" s="46" t="str">
        <f t="shared" si="8"/>
        <v xml:space="preserve"> </v>
      </c>
      <c r="T25" s="47" t="str">
        <f t="shared" si="9"/>
        <v xml:space="preserve"> </v>
      </c>
      <c r="U25" s="42" t="str">
        <f t="shared" si="10"/>
        <v xml:space="preserve"> </v>
      </c>
      <c r="V25" s="10"/>
    </row>
    <row r="26" spans="1:22">
      <c r="A26" s="221" t="str">
        <f t="shared" si="11"/>
        <v xml:space="preserve"> </v>
      </c>
      <c r="B26" s="30" t="str">
        <f t="shared" si="0"/>
        <v xml:space="preserve"> </v>
      </c>
      <c r="C26" s="53" t="str">
        <f t="shared" si="1"/>
        <v xml:space="preserve"> </v>
      </c>
      <c r="D26" s="33">
        <f>Zinssatz!F84</f>
        <v>0.75203398392125342</v>
      </c>
      <c r="E26" s="218" t="str">
        <f t="shared" si="12"/>
        <v xml:space="preserve"> </v>
      </c>
      <c r="F26" s="35" t="str">
        <f t="shared" si="15"/>
        <v xml:space="preserve"> </v>
      </c>
      <c r="G26" s="36" t="str">
        <f t="shared" si="2"/>
        <v xml:space="preserve"> </v>
      </c>
      <c r="H26" s="219" t="str">
        <f t="shared" si="16"/>
        <v xml:space="preserve"> </v>
      </c>
      <c r="I26" s="36" t="str">
        <f t="shared" si="13"/>
        <v xml:space="preserve"> </v>
      </c>
      <c r="J26" s="35" t="str">
        <f t="shared" si="3"/>
        <v xml:space="preserve"> </v>
      </c>
      <c r="K26" s="35" t="str">
        <f t="shared" si="4"/>
        <v xml:space="preserve"> </v>
      </c>
      <c r="L26" s="35" t="str">
        <f t="shared" si="5"/>
        <v xml:space="preserve"> </v>
      </c>
      <c r="M26" s="43">
        <f>$E$9</f>
        <v>3.7199999999999962E-2</v>
      </c>
      <c r="N26" s="359" t="str">
        <f t="shared" si="14"/>
        <v xml:space="preserve"> </v>
      </c>
      <c r="O26" s="35" t="str">
        <f t="shared" si="6"/>
        <v xml:space="preserve"> </v>
      </c>
      <c r="P26" s="35" t="str">
        <f t="shared" si="7"/>
        <v/>
      </c>
      <c r="Q26" s="51"/>
      <c r="R26" s="52"/>
      <c r="S26" s="46" t="str">
        <f t="shared" si="8"/>
        <v xml:space="preserve"> </v>
      </c>
      <c r="T26" s="47" t="str">
        <f t="shared" si="9"/>
        <v xml:space="preserve"> </v>
      </c>
      <c r="U26" s="42" t="str">
        <f t="shared" si="10"/>
        <v xml:space="preserve"> </v>
      </c>
      <c r="V26" s="10"/>
    </row>
    <row r="27" spans="1:22">
      <c r="A27" s="221" t="str">
        <f t="shared" si="11"/>
        <v xml:space="preserve"> </v>
      </c>
      <c r="B27" s="30" t="str">
        <f t="shared" si="0"/>
        <v xml:space="preserve"> </v>
      </c>
      <c r="C27" s="53" t="str">
        <f t="shared" si="1"/>
        <v xml:space="preserve"> </v>
      </c>
      <c r="D27" s="33">
        <f>Zinssatz!F88</f>
        <v>0.73293058197955652</v>
      </c>
      <c r="E27" s="218" t="str">
        <f t="shared" si="12"/>
        <v xml:space="preserve"> </v>
      </c>
      <c r="F27" s="35" t="str">
        <f t="shared" si="15"/>
        <v xml:space="preserve"> </v>
      </c>
      <c r="G27" s="36" t="str">
        <f t="shared" si="2"/>
        <v xml:space="preserve"> </v>
      </c>
      <c r="H27" s="219" t="str">
        <f t="shared" si="16"/>
        <v xml:space="preserve"> </v>
      </c>
      <c r="I27" s="36" t="str">
        <f t="shared" si="13"/>
        <v xml:space="preserve"> </v>
      </c>
      <c r="J27" s="35" t="str">
        <f t="shared" si="3"/>
        <v xml:space="preserve"> </v>
      </c>
      <c r="K27" s="35" t="str">
        <f t="shared" si="4"/>
        <v xml:space="preserve"> </v>
      </c>
      <c r="L27" s="35" t="str">
        <f t="shared" si="5"/>
        <v xml:space="preserve"> </v>
      </c>
      <c r="M27" s="43"/>
      <c r="N27" s="359" t="str">
        <f t="shared" si="14"/>
        <v xml:space="preserve"> </v>
      </c>
      <c r="O27" s="35" t="str">
        <f t="shared" si="6"/>
        <v xml:space="preserve"> </v>
      </c>
      <c r="P27" s="35" t="str">
        <f t="shared" si="7"/>
        <v/>
      </c>
      <c r="Q27" s="51"/>
      <c r="R27" s="52"/>
      <c r="S27" s="46" t="str">
        <f t="shared" si="8"/>
        <v xml:space="preserve"> </v>
      </c>
      <c r="T27" s="47" t="str">
        <f t="shared" si="9"/>
        <v xml:space="preserve"> </v>
      </c>
      <c r="U27" s="42" t="str">
        <f t="shared" si="10"/>
        <v xml:space="preserve"> </v>
      </c>
      <c r="V27" s="10"/>
    </row>
    <row r="28" spans="1:22">
      <c r="A28" s="221" t="str">
        <f t="shared" si="11"/>
        <v xml:space="preserve"> </v>
      </c>
      <c r="B28" s="30" t="str">
        <f t="shared" si="0"/>
        <v xml:space="preserve"> </v>
      </c>
      <c r="C28" s="53" t="str">
        <f t="shared" si="1"/>
        <v xml:space="preserve"> </v>
      </c>
      <c r="D28" s="33">
        <f>Zinssatz!F92</f>
        <v>0.71325861312159966</v>
      </c>
      <c r="E28" s="218" t="str">
        <f t="shared" si="12"/>
        <v xml:space="preserve"> </v>
      </c>
      <c r="F28" s="35" t="str">
        <f t="shared" si="15"/>
        <v xml:space="preserve"> </v>
      </c>
      <c r="G28" s="36" t="str">
        <f t="shared" si="2"/>
        <v xml:space="preserve"> </v>
      </c>
      <c r="H28" s="219" t="str">
        <f t="shared" si="16"/>
        <v xml:space="preserve"> </v>
      </c>
      <c r="I28" s="36" t="str">
        <f t="shared" si="13"/>
        <v xml:space="preserve"> </v>
      </c>
      <c r="J28" s="35" t="str">
        <f t="shared" si="3"/>
        <v xml:space="preserve"> </v>
      </c>
      <c r="K28" s="35" t="str">
        <f t="shared" si="4"/>
        <v xml:space="preserve"> </v>
      </c>
      <c r="L28" s="35" t="str">
        <f t="shared" si="5"/>
        <v xml:space="preserve"> </v>
      </c>
      <c r="M28" s="43">
        <f>$E$9</f>
        <v>3.7199999999999962E-2</v>
      </c>
      <c r="N28" s="359" t="str">
        <f t="shared" si="14"/>
        <v xml:space="preserve"> </v>
      </c>
      <c r="O28" s="35" t="str">
        <f t="shared" si="6"/>
        <v xml:space="preserve"> </v>
      </c>
      <c r="P28" s="35" t="str">
        <f t="shared" si="7"/>
        <v/>
      </c>
      <c r="Q28" s="51"/>
      <c r="R28" s="52"/>
      <c r="S28" s="46" t="str">
        <f t="shared" si="8"/>
        <v xml:space="preserve"> </v>
      </c>
      <c r="T28" s="47" t="str">
        <f t="shared" si="9"/>
        <v xml:space="preserve"> </v>
      </c>
      <c r="U28" s="42" t="str">
        <f t="shared" si="10"/>
        <v xml:space="preserve"> </v>
      </c>
      <c r="V28" s="10"/>
    </row>
    <row r="29" spans="1:22">
      <c r="A29" s="221" t="str">
        <f t="shared" si="11"/>
        <v xml:space="preserve"> </v>
      </c>
      <c r="B29" s="30" t="str">
        <f t="shared" si="0"/>
        <v xml:space="preserve"> </v>
      </c>
      <c r="C29" s="53" t="str">
        <f t="shared" si="1"/>
        <v xml:space="preserve"> </v>
      </c>
      <c r="D29" s="33">
        <f>Zinssatz!F96</f>
        <v>0.69491664800708586</v>
      </c>
      <c r="E29" s="218" t="str">
        <f t="shared" si="12"/>
        <v xml:space="preserve"> </v>
      </c>
      <c r="F29" s="35" t="str">
        <f t="shared" si="15"/>
        <v xml:space="preserve"> </v>
      </c>
      <c r="G29" s="36" t="str">
        <f t="shared" si="2"/>
        <v xml:space="preserve"> </v>
      </c>
      <c r="H29" s="219" t="str">
        <f t="shared" si="16"/>
        <v xml:space="preserve"> </v>
      </c>
      <c r="I29" s="36" t="str">
        <f t="shared" si="13"/>
        <v xml:space="preserve"> </v>
      </c>
      <c r="J29" s="35" t="str">
        <f t="shared" si="3"/>
        <v xml:space="preserve"> </v>
      </c>
      <c r="K29" s="35" t="str">
        <f t="shared" si="4"/>
        <v xml:space="preserve"> </v>
      </c>
      <c r="L29" s="35" t="str">
        <f t="shared" si="5"/>
        <v xml:space="preserve"> </v>
      </c>
      <c r="M29" s="43"/>
      <c r="N29" s="359" t="str">
        <f t="shared" si="14"/>
        <v xml:space="preserve"> </v>
      </c>
      <c r="O29" s="35" t="str">
        <f t="shared" si="6"/>
        <v xml:space="preserve"> </v>
      </c>
      <c r="P29" s="35" t="str">
        <f t="shared" si="7"/>
        <v/>
      </c>
      <c r="Q29" s="51"/>
      <c r="R29" s="52"/>
      <c r="S29" s="46" t="str">
        <f t="shared" si="8"/>
        <v xml:space="preserve"> </v>
      </c>
      <c r="T29" s="47" t="str">
        <f t="shared" si="9"/>
        <v xml:space="preserve"> </v>
      </c>
      <c r="U29" s="42" t="str">
        <f t="shared" si="10"/>
        <v xml:space="preserve"> </v>
      </c>
      <c r="V29" s="10"/>
    </row>
    <row r="30" spans="1:22">
      <c r="A30" s="221" t="str">
        <f t="shared" si="11"/>
        <v xml:space="preserve"> </v>
      </c>
      <c r="B30" s="30" t="str">
        <f t="shared" si="0"/>
        <v xml:space="preserve"> </v>
      </c>
      <c r="C30" s="53" t="str">
        <f t="shared" si="1"/>
        <v xml:space="preserve"> </v>
      </c>
      <c r="D30" s="33">
        <f>Zinssatz!F100</f>
        <v>0.67664821533140229</v>
      </c>
      <c r="E30" s="218" t="str">
        <f t="shared" si="12"/>
        <v xml:space="preserve"> </v>
      </c>
      <c r="F30" s="35" t="str">
        <f t="shared" si="15"/>
        <v xml:space="preserve"> </v>
      </c>
      <c r="G30" s="36" t="str">
        <f t="shared" si="2"/>
        <v xml:space="preserve"> </v>
      </c>
      <c r="H30" s="219" t="str">
        <f t="shared" si="16"/>
        <v xml:space="preserve"> </v>
      </c>
      <c r="I30" s="36" t="str">
        <f t="shared" si="13"/>
        <v xml:space="preserve"> </v>
      </c>
      <c r="J30" s="35" t="str">
        <f t="shared" si="3"/>
        <v xml:space="preserve"> </v>
      </c>
      <c r="K30" s="35" t="str">
        <f t="shared" si="4"/>
        <v xml:space="preserve"> </v>
      </c>
      <c r="L30" s="35" t="str">
        <f t="shared" si="5"/>
        <v xml:space="preserve"> </v>
      </c>
      <c r="M30" s="43">
        <f>$E$9</f>
        <v>3.7199999999999962E-2</v>
      </c>
      <c r="N30" s="359" t="str">
        <f t="shared" si="14"/>
        <v xml:space="preserve"> </v>
      </c>
      <c r="O30" s="35" t="str">
        <f t="shared" si="6"/>
        <v xml:space="preserve"> </v>
      </c>
      <c r="P30" s="35" t="str">
        <f t="shared" si="7"/>
        <v/>
      </c>
      <c r="Q30" s="51"/>
      <c r="R30" s="52"/>
      <c r="S30" s="46" t="str">
        <f t="shared" si="8"/>
        <v xml:space="preserve"> </v>
      </c>
      <c r="T30" s="47" t="str">
        <f t="shared" si="9"/>
        <v xml:space="preserve"> </v>
      </c>
      <c r="U30" s="42" t="str">
        <f t="shared" si="10"/>
        <v xml:space="preserve"> </v>
      </c>
      <c r="V30" s="10"/>
    </row>
    <row r="31" spans="1:22">
      <c r="A31" s="221" t="str">
        <f t="shared" si="11"/>
        <v xml:space="preserve"> </v>
      </c>
      <c r="B31" s="30" t="str">
        <f t="shared" si="0"/>
        <v xml:space="preserve"> </v>
      </c>
      <c r="C31" s="53" t="str">
        <f t="shared" si="1"/>
        <v xml:space="preserve"> </v>
      </c>
      <c r="D31" s="33">
        <f>Zinssatz!F104</f>
        <v>0.65908621402716638</v>
      </c>
      <c r="E31" s="218" t="str">
        <f t="shared" si="12"/>
        <v xml:space="preserve"> </v>
      </c>
      <c r="F31" s="35" t="str">
        <f t="shared" si="15"/>
        <v xml:space="preserve"> </v>
      </c>
      <c r="G31" s="36" t="str">
        <f t="shared" si="2"/>
        <v xml:space="preserve"> </v>
      </c>
      <c r="H31" s="219" t="str">
        <f t="shared" si="16"/>
        <v xml:space="preserve"> </v>
      </c>
      <c r="I31" s="36" t="str">
        <f t="shared" si="13"/>
        <v xml:space="preserve"> </v>
      </c>
      <c r="J31" s="35" t="str">
        <f t="shared" si="3"/>
        <v xml:space="preserve"> </v>
      </c>
      <c r="K31" s="35" t="str">
        <f t="shared" si="4"/>
        <v xml:space="preserve"> </v>
      </c>
      <c r="L31" s="35" t="str">
        <f t="shared" si="5"/>
        <v xml:space="preserve"> </v>
      </c>
      <c r="M31" s="43"/>
      <c r="N31" s="359" t="str">
        <f t="shared" si="14"/>
        <v xml:space="preserve"> </v>
      </c>
      <c r="O31" s="35" t="str">
        <f t="shared" si="6"/>
        <v xml:space="preserve"> </v>
      </c>
      <c r="P31" s="35" t="str">
        <f t="shared" si="7"/>
        <v/>
      </c>
      <c r="Q31" s="51"/>
      <c r="R31" s="52"/>
      <c r="S31" s="46" t="str">
        <f t="shared" si="8"/>
        <v xml:space="preserve"> </v>
      </c>
      <c r="T31" s="47" t="str">
        <f t="shared" si="9"/>
        <v xml:space="preserve"> </v>
      </c>
      <c r="U31" s="42" t="str">
        <f t="shared" si="10"/>
        <v xml:space="preserve"> </v>
      </c>
      <c r="V31" s="10"/>
    </row>
    <row r="32" spans="1:22">
      <c r="A32" s="221" t="str">
        <f t="shared" si="11"/>
        <v xml:space="preserve"> </v>
      </c>
      <c r="B32" s="30" t="str">
        <f t="shared" si="0"/>
        <v xml:space="preserve"> </v>
      </c>
      <c r="C32" s="53" t="str">
        <f t="shared" si="1"/>
        <v xml:space="preserve"> </v>
      </c>
      <c r="D32" s="33">
        <f>Zinssatz!F108</f>
        <v>0.64156988847331287</v>
      </c>
      <c r="E32" s="218" t="str">
        <f t="shared" si="12"/>
        <v xml:space="preserve"> </v>
      </c>
      <c r="F32" s="35" t="str">
        <f t="shared" si="15"/>
        <v xml:space="preserve"> </v>
      </c>
      <c r="G32" s="36" t="str">
        <f t="shared" si="2"/>
        <v xml:space="preserve"> </v>
      </c>
      <c r="H32" s="219" t="str">
        <f t="shared" si="16"/>
        <v xml:space="preserve"> </v>
      </c>
      <c r="I32" s="36" t="str">
        <f t="shared" si="13"/>
        <v xml:space="preserve"> </v>
      </c>
      <c r="J32" s="35" t="str">
        <f t="shared" si="3"/>
        <v xml:space="preserve"> </v>
      </c>
      <c r="K32" s="35" t="str">
        <f t="shared" si="4"/>
        <v xml:space="preserve"> </v>
      </c>
      <c r="L32" s="35" t="str">
        <f t="shared" si="5"/>
        <v xml:space="preserve"> </v>
      </c>
      <c r="M32" s="43">
        <f>$E$9</f>
        <v>3.7199999999999962E-2</v>
      </c>
      <c r="N32" s="359" t="str">
        <f t="shared" si="14"/>
        <v xml:space="preserve"> </v>
      </c>
      <c r="O32" s="35" t="str">
        <f t="shared" si="6"/>
        <v xml:space="preserve"> </v>
      </c>
      <c r="P32" s="35" t="str">
        <f t="shared" si="7"/>
        <v/>
      </c>
      <c r="Q32" s="51"/>
      <c r="R32" s="52"/>
      <c r="S32" s="46" t="str">
        <f t="shared" si="8"/>
        <v xml:space="preserve"> </v>
      </c>
      <c r="T32" s="47" t="str">
        <f t="shared" si="9"/>
        <v xml:space="preserve"> </v>
      </c>
      <c r="U32" s="42" t="str">
        <f t="shared" si="10"/>
        <v xml:space="preserve"> </v>
      </c>
      <c r="V32" s="10"/>
    </row>
    <row r="33" spans="1:22">
      <c r="A33" s="221" t="str">
        <f t="shared" si="11"/>
        <v xml:space="preserve"> </v>
      </c>
      <c r="B33" s="30" t="str">
        <f t="shared" si="0"/>
        <v xml:space="preserve"> </v>
      </c>
      <c r="C33" s="53" t="str">
        <f t="shared" si="1"/>
        <v xml:space="preserve"> </v>
      </c>
      <c r="D33" s="33">
        <f>Zinssatz!F12</f>
        <v>0.90957443724748621</v>
      </c>
      <c r="E33" s="218" t="str">
        <f t="shared" si="12"/>
        <v xml:space="preserve"> </v>
      </c>
      <c r="F33" s="35" t="str">
        <f t="shared" si="15"/>
        <v xml:space="preserve"> </v>
      </c>
      <c r="G33" s="36" t="str">
        <f t="shared" si="2"/>
        <v xml:space="preserve"> </v>
      </c>
      <c r="H33" s="219" t="str">
        <f t="shared" si="16"/>
        <v xml:space="preserve"> </v>
      </c>
      <c r="I33" s="36" t="str">
        <f t="shared" si="13"/>
        <v xml:space="preserve"> </v>
      </c>
      <c r="J33" s="35" t="str">
        <f t="shared" si="3"/>
        <v xml:space="preserve"> </v>
      </c>
      <c r="K33" s="35" t="str">
        <f t="shared" si="4"/>
        <v xml:space="preserve"> </v>
      </c>
      <c r="L33" s="35" t="str">
        <f t="shared" si="5"/>
        <v xml:space="preserve"> </v>
      </c>
      <c r="M33" s="43">
        <f>$E$9</f>
        <v>3.7199999999999962E-2</v>
      </c>
      <c r="N33" s="359" t="str">
        <f t="shared" si="14"/>
        <v xml:space="preserve"> </v>
      </c>
      <c r="O33" s="35" t="str">
        <f t="shared" si="6"/>
        <v xml:space="preserve"> </v>
      </c>
      <c r="P33" s="35" t="str">
        <f t="shared" si="7"/>
        <v/>
      </c>
      <c r="Q33" s="51"/>
      <c r="R33" s="52"/>
      <c r="S33" s="46" t="str">
        <f t="shared" si="8"/>
        <v xml:space="preserve"> </v>
      </c>
      <c r="T33" s="47" t="str">
        <f t="shared" si="9"/>
        <v xml:space="preserve"> </v>
      </c>
      <c r="U33" s="42" t="str">
        <f t="shared" si="10"/>
        <v xml:space="preserve"> </v>
      </c>
      <c r="V33" s="10"/>
    </row>
    <row r="34" spans="1:22">
      <c r="A34" s="221" t="str">
        <f t="shared" si="11"/>
        <v xml:space="preserve"> </v>
      </c>
      <c r="B34" s="30" t="str">
        <f t="shared" si="0"/>
        <v xml:space="preserve"> </v>
      </c>
      <c r="C34" s="53" t="str">
        <f t="shared" si="1"/>
        <v xml:space="preserve"> </v>
      </c>
      <c r="D34" s="33">
        <f>Zinssatz!F116</f>
        <v>0.60815151879737495</v>
      </c>
      <c r="E34" s="218" t="str">
        <f t="shared" si="12"/>
        <v xml:space="preserve"> </v>
      </c>
      <c r="F34" s="35" t="str">
        <f t="shared" si="15"/>
        <v xml:space="preserve"> </v>
      </c>
      <c r="G34" s="36" t="str">
        <f t="shared" si="2"/>
        <v xml:space="preserve"> </v>
      </c>
      <c r="H34" s="219" t="str">
        <f t="shared" si="16"/>
        <v xml:space="preserve"> </v>
      </c>
      <c r="I34" s="36" t="str">
        <f t="shared" si="13"/>
        <v xml:space="preserve"> </v>
      </c>
      <c r="J34" s="35" t="str">
        <f t="shared" si="3"/>
        <v xml:space="preserve"> </v>
      </c>
      <c r="K34" s="35" t="str">
        <f t="shared" si="4"/>
        <v xml:space="preserve"> </v>
      </c>
      <c r="L34" s="35" t="str">
        <f t="shared" si="5"/>
        <v xml:space="preserve"> </v>
      </c>
      <c r="M34" s="43"/>
      <c r="N34" s="359" t="str">
        <f t="shared" si="14"/>
        <v xml:space="preserve"> </v>
      </c>
      <c r="O34" s="35" t="str">
        <f t="shared" si="6"/>
        <v xml:space="preserve"> </v>
      </c>
      <c r="P34" s="35" t="str">
        <f t="shared" si="7"/>
        <v/>
      </c>
      <c r="Q34" s="51"/>
      <c r="R34" s="52"/>
      <c r="S34" s="46" t="str">
        <f t="shared" si="8"/>
        <v xml:space="preserve"> </v>
      </c>
      <c r="T34" s="47" t="str">
        <f t="shared" si="9"/>
        <v xml:space="preserve"> </v>
      </c>
      <c r="U34" s="42" t="str">
        <f t="shared" si="10"/>
        <v xml:space="preserve"> </v>
      </c>
      <c r="V34" s="10"/>
    </row>
    <row r="35" spans="1:22">
      <c r="A35" s="221" t="str">
        <f t="shared" si="11"/>
        <v xml:space="preserve"> </v>
      </c>
      <c r="B35" s="30" t="str">
        <f t="shared" si="0"/>
        <v xml:space="preserve"> </v>
      </c>
      <c r="C35" s="53" t="str">
        <f t="shared" si="1"/>
        <v xml:space="preserve"> </v>
      </c>
      <c r="D35" s="33">
        <f>Zinssatz!F120</f>
        <v>0.59177066982202131</v>
      </c>
      <c r="E35" s="218" t="str">
        <f t="shared" si="12"/>
        <v xml:space="preserve"> </v>
      </c>
      <c r="F35" s="35" t="str">
        <f t="shared" si="15"/>
        <v xml:space="preserve"> </v>
      </c>
      <c r="G35" s="36" t="str">
        <f t="shared" si="2"/>
        <v xml:space="preserve"> </v>
      </c>
      <c r="H35" s="219" t="str">
        <f t="shared" si="16"/>
        <v xml:space="preserve"> </v>
      </c>
      <c r="I35" s="36" t="str">
        <f t="shared" si="13"/>
        <v xml:space="preserve"> </v>
      </c>
      <c r="J35" s="35" t="str">
        <f t="shared" si="3"/>
        <v xml:space="preserve"> </v>
      </c>
      <c r="K35" s="35" t="str">
        <f t="shared" si="4"/>
        <v xml:space="preserve"> </v>
      </c>
      <c r="L35" s="35" t="str">
        <f t="shared" si="5"/>
        <v xml:space="preserve"> </v>
      </c>
      <c r="M35" s="43">
        <f>$E$9</f>
        <v>3.7199999999999962E-2</v>
      </c>
      <c r="N35" s="359" t="str">
        <f t="shared" si="14"/>
        <v xml:space="preserve"> </v>
      </c>
      <c r="O35" s="35" t="str">
        <f t="shared" si="6"/>
        <v xml:space="preserve"> </v>
      </c>
      <c r="P35" s="35" t="str">
        <f t="shared" si="7"/>
        <v/>
      </c>
      <c r="Q35" s="51"/>
      <c r="R35" s="52"/>
      <c r="S35" s="46" t="str">
        <f t="shared" si="8"/>
        <v xml:space="preserve"> </v>
      </c>
      <c r="T35" s="47" t="str">
        <f t="shared" si="9"/>
        <v xml:space="preserve"> </v>
      </c>
      <c r="U35" s="42" t="str">
        <f t="shared" si="10"/>
        <v xml:space="preserve"> </v>
      </c>
      <c r="V35" s="10"/>
    </row>
    <row r="36" spans="1:22">
      <c r="A36" s="221" t="str">
        <f t="shared" si="11"/>
        <v xml:space="preserve"> </v>
      </c>
      <c r="B36" s="30" t="str">
        <f t="shared" si="0"/>
        <v xml:space="preserve"> </v>
      </c>
      <c r="C36" s="53" t="str">
        <f t="shared" si="1"/>
        <v xml:space="preserve"> </v>
      </c>
      <c r="D36" s="33">
        <f>Zinssatz!F124</f>
        <v>0.57532126446617682</v>
      </c>
      <c r="E36" s="218" t="str">
        <f t="shared" si="12"/>
        <v xml:space="preserve"> </v>
      </c>
      <c r="F36" s="35" t="str">
        <f t="shared" si="15"/>
        <v xml:space="preserve"> </v>
      </c>
      <c r="G36" s="36" t="str">
        <f t="shared" si="2"/>
        <v xml:space="preserve"> </v>
      </c>
      <c r="H36" s="219" t="str">
        <f t="shared" si="16"/>
        <v xml:space="preserve"> </v>
      </c>
      <c r="I36" s="36" t="str">
        <f t="shared" si="13"/>
        <v xml:space="preserve"> </v>
      </c>
      <c r="J36" s="35" t="str">
        <f t="shared" si="3"/>
        <v xml:space="preserve"> </v>
      </c>
      <c r="K36" s="35" t="str">
        <f t="shared" si="4"/>
        <v xml:space="preserve"> </v>
      </c>
      <c r="L36" s="35" t="str">
        <f t="shared" si="5"/>
        <v xml:space="preserve"> </v>
      </c>
      <c r="M36" s="43"/>
      <c r="N36" s="359" t="str">
        <f t="shared" si="14"/>
        <v xml:space="preserve"> </v>
      </c>
      <c r="O36" s="35" t="str">
        <f t="shared" si="6"/>
        <v xml:space="preserve"> </v>
      </c>
      <c r="P36" s="35" t="str">
        <f t="shared" si="7"/>
        <v/>
      </c>
      <c r="Q36" s="51"/>
      <c r="R36" s="52"/>
      <c r="S36" s="46" t="str">
        <f t="shared" si="8"/>
        <v xml:space="preserve"> </v>
      </c>
      <c r="T36" s="47" t="str">
        <f t="shared" si="9"/>
        <v xml:space="preserve"> </v>
      </c>
      <c r="U36" s="42" t="str">
        <f t="shared" si="10"/>
        <v xml:space="preserve"> </v>
      </c>
      <c r="V36" s="10"/>
    </row>
    <row r="37" spans="1:22">
      <c r="A37" s="221" t="str">
        <f t="shared" si="11"/>
        <v xml:space="preserve"> </v>
      </c>
      <c r="B37" s="30" t="str">
        <f t="shared" si="0"/>
        <v xml:space="preserve"> </v>
      </c>
      <c r="C37" s="53" t="str">
        <f t="shared" si="1"/>
        <v xml:space="preserve"> </v>
      </c>
      <c r="D37" s="33">
        <f>Zinssatz!F128</f>
        <v>0.55983421623500151</v>
      </c>
      <c r="E37" s="218" t="str">
        <f t="shared" si="12"/>
        <v xml:space="preserve"> </v>
      </c>
      <c r="F37" s="35" t="str">
        <f t="shared" si="15"/>
        <v xml:space="preserve"> </v>
      </c>
      <c r="G37" s="36" t="str">
        <f t="shared" si="2"/>
        <v xml:space="preserve"> </v>
      </c>
      <c r="H37" s="219" t="str">
        <f t="shared" si="16"/>
        <v xml:space="preserve"> </v>
      </c>
      <c r="I37" s="36" t="str">
        <f t="shared" si="13"/>
        <v xml:space="preserve"> </v>
      </c>
      <c r="J37" s="35" t="str">
        <f t="shared" si="3"/>
        <v xml:space="preserve"> </v>
      </c>
      <c r="K37" s="35" t="str">
        <f t="shared" si="4"/>
        <v xml:space="preserve"> </v>
      </c>
      <c r="L37" s="35" t="str">
        <f t="shared" si="5"/>
        <v xml:space="preserve"> </v>
      </c>
      <c r="M37" s="43">
        <f>$E$9</f>
        <v>3.7199999999999962E-2</v>
      </c>
      <c r="N37" s="359" t="str">
        <f t="shared" si="14"/>
        <v xml:space="preserve"> </v>
      </c>
      <c r="O37" s="35" t="str">
        <f t="shared" si="6"/>
        <v xml:space="preserve"> </v>
      </c>
      <c r="P37" s="35" t="str">
        <f t="shared" si="7"/>
        <v/>
      </c>
      <c r="Q37" s="51"/>
      <c r="R37" s="52"/>
      <c r="S37" s="46" t="str">
        <f t="shared" si="8"/>
        <v xml:space="preserve"> </v>
      </c>
      <c r="T37" s="47" t="str">
        <f t="shared" si="9"/>
        <v xml:space="preserve"> </v>
      </c>
      <c r="U37" s="42" t="str">
        <f t="shared" si="10"/>
        <v xml:space="preserve"> </v>
      </c>
      <c r="V37" s="10"/>
    </row>
    <row r="38" spans="1:22">
      <c r="A38" s="221" t="str">
        <f t="shared" si="11"/>
        <v xml:space="preserve"> </v>
      </c>
      <c r="B38" s="30" t="str">
        <f t="shared" si="0"/>
        <v xml:space="preserve"> </v>
      </c>
      <c r="C38" s="53" t="str">
        <f t="shared" si="1"/>
        <v xml:space="preserve"> </v>
      </c>
      <c r="D38" s="33">
        <f>Zinssatz!F132</f>
        <v>0.54424316346599089</v>
      </c>
      <c r="E38" s="218" t="str">
        <f t="shared" si="12"/>
        <v xml:space="preserve"> </v>
      </c>
      <c r="F38" s="35" t="str">
        <f t="shared" si="15"/>
        <v xml:space="preserve"> </v>
      </c>
      <c r="G38" s="36" t="str">
        <f t="shared" si="2"/>
        <v xml:space="preserve"> </v>
      </c>
      <c r="H38" s="219" t="str">
        <f t="shared" si="16"/>
        <v xml:space="preserve"> </v>
      </c>
      <c r="I38" s="36" t="str">
        <f t="shared" si="13"/>
        <v xml:space="preserve"> </v>
      </c>
      <c r="J38" s="35" t="str">
        <f t="shared" si="3"/>
        <v xml:space="preserve"> </v>
      </c>
      <c r="K38" s="35" t="str">
        <f t="shared" si="4"/>
        <v xml:space="preserve"> </v>
      </c>
      <c r="L38" s="35" t="str">
        <f t="shared" si="5"/>
        <v xml:space="preserve"> </v>
      </c>
      <c r="M38" s="43"/>
      <c r="N38" s="359" t="str">
        <f t="shared" si="14"/>
        <v xml:space="preserve"> </v>
      </c>
      <c r="O38" s="35" t="str">
        <f t="shared" si="6"/>
        <v xml:space="preserve"> </v>
      </c>
      <c r="P38" s="35" t="str">
        <f t="shared" si="7"/>
        <v/>
      </c>
      <c r="Q38" s="51"/>
      <c r="R38" s="52"/>
      <c r="S38" s="46" t="str">
        <f t="shared" si="8"/>
        <v xml:space="preserve"> </v>
      </c>
      <c r="T38" s="47" t="str">
        <f t="shared" si="9"/>
        <v xml:space="preserve"> </v>
      </c>
      <c r="U38" s="42" t="str">
        <f t="shared" si="10"/>
        <v xml:space="preserve"> </v>
      </c>
      <c r="V38" s="10"/>
    </row>
    <row r="39" spans="1:22">
      <c r="A39" s="221" t="str">
        <f t="shared" si="11"/>
        <v xml:space="preserve"> </v>
      </c>
      <c r="B39" s="30" t="str">
        <f t="shared" si="0"/>
        <v xml:space="preserve"> </v>
      </c>
      <c r="C39" s="53" t="str">
        <f t="shared" si="1"/>
        <v xml:space="preserve"> </v>
      </c>
      <c r="D39" s="33">
        <f>Zinssatz!F136</f>
        <v>0.52930937764828556</v>
      </c>
      <c r="E39" s="218" t="str">
        <f t="shared" si="12"/>
        <v xml:space="preserve"> </v>
      </c>
      <c r="F39" s="35" t="str">
        <f t="shared" si="15"/>
        <v xml:space="preserve"> </v>
      </c>
      <c r="G39" s="36" t="str">
        <f t="shared" si="2"/>
        <v xml:space="preserve"> </v>
      </c>
      <c r="H39" s="219" t="str">
        <f t="shared" si="16"/>
        <v xml:space="preserve"> </v>
      </c>
      <c r="I39" s="36" t="str">
        <f t="shared" si="13"/>
        <v xml:space="preserve"> </v>
      </c>
      <c r="J39" s="35" t="str">
        <f t="shared" si="3"/>
        <v xml:space="preserve"> </v>
      </c>
      <c r="K39" s="35" t="str">
        <f t="shared" si="4"/>
        <v xml:space="preserve"> </v>
      </c>
      <c r="L39" s="35" t="str">
        <f t="shared" si="5"/>
        <v xml:space="preserve"> </v>
      </c>
      <c r="M39" s="43"/>
      <c r="N39" s="359" t="str">
        <f t="shared" si="14"/>
        <v xml:space="preserve"> </v>
      </c>
      <c r="O39" s="35" t="str">
        <f t="shared" si="6"/>
        <v xml:space="preserve"> </v>
      </c>
      <c r="P39" s="35" t="str">
        <f t="shared" si="7"/>
        <v/>
      </c>
      <c r="Q39" s="51"/>
      <c r="R39" s="52"/>
      <c r="S39" s="46" t="str">
        <f t="shared" si="8"/>
        <v xml:space="preserve"> </v>
      </c>
      <c r="T39" s="47" t="str">
        <f t="shared" si="9"/>
        <v xml:space="preserve"> </v>
      </c>
      <c r="U39" s="42" t="str">
        <f t="shared" si="10"/>
        <v xml:space="preserve"> </v>
      </c>
      <c r="V39" s="10"/>
    </row>
    <row r="40" spans="1:22">
      <c r="A40" s="221" t="str">
        <f t="shared" si="11"/>
        <v xml:space="preserve"> </v>
      </c>
      <c r="B40" s="30" t="str">
        <f t="shared" si="0"/>
        <v xml:space="preserve"> </v>
      </c>
      <c r="C40" s="53" t="str">
        <f t="shared" si="1"/>
        <v xml:space="preserve"> </v>
      </c>
      <c r="D40" s="33">
        <f>Zinssatz!F140</f>
        <v>0.5141131343428379</v>
      </c>
      <c r="E40" s="218" t="str">
        <f t="shared" si="12"/>
        <v xml:space="preserve"> </v>
      </c>
      <c r="F40" s="35" t="str">
        <f t="shared" si="15"/>
        <v xml:space="preserve"> </v>
      </c>
      <c r="G40" s="36" t="str">
        <f t="shared" si="2"/>
        <v xml:space="preserve"> </v>
      </c>
      <c r="H40" s="219" t="str">
        <f t="shared" si="16"/>
        <v xml:space="preserve"> </v>
      </c>
      <c r="I40" s="36" t="str">
        <f t="shared" si="13"/>
        <v xml:space="preserve"> </v>
      </c>
      <c r="J40" s="35" t="str">
        <f t="shared" si="3"/>
        <v xml:space="preserve"> </v>
      </c>
      <c r="K40" s="35" t="str">
        <f t="shared" si="4"/>
        <v xml:space="preserve"> </v>
      </c>
      <c r="L40" s="35" t="str">
        <f t="shared" si="5"/>
        <v xml:space="preserve"> </v>
      </c>
      <c r="M40" s="43">
        <f>$E$9</f>
        <v>3.7199999999999962E-2</v>
      </c>
      <c r="N40" s="359" t="str">
        <f t="shared" si="14"/>
        <v xml:space="preserve"> </v>
      </c>
      <c r="O40" s="35" t="str">
        <f t="shared" si="6"/>
        <v xml:space="preserve"> </v>
      </c>
      <c r="P40" s="35" t="str">
        <f t="shared" si="7"/>
        <v/>
      </c>
      <c r="Q40" s="51"/>
      <c r="R40" s="52"/>
      <c r="S40" s="46" t="str">
        <f t="shared" si="8"/>
        <v xml:space="preserve"> </v>
      </c>
      <c r="T40" s="47" t="str">
        <f t="shared" si="9"/>
        <v xml:space="preserve"> </v>
      </c>
      <c r="U40" s="42" t="str">
        <f t="shared" si="10"/>
        <v xml:space="preserve"> </v>
      </c>
      <c r="V40" s="10"/>
    </row>
    <row r="41" spans="1:22" ht="13.5" thickBot="1">
      <c r="A41" s="221" t="str">
        <f t="shared" si="11"/>
        <v xml:space="preserve"> </v>
      </c>
      <c r="B41" s="30" t="str">
        <f t="shared" si="0"/>
        <v xml:space="preserve"> </v>
      </c>
      <c r="C41" s="53" t="str">
        <f t="shared" si="1"/>
        <v xml:space="preserve"> </v>
      </c>
      <c r="D41" s="33">
        <f>Zinssatz!F144</f>
        <v>0.49930752631443254</v>
      </c>
      <c r="E41" s="218" t="str">
        <f>IF(A41=" "," ",(#REF!/D41-1)/(B41-#REF!)*360)</f>
        <v xml:space="preserve"> </v>
      </c>
      <c r="F41" s="35" t="str">
        <f>IF(A41=" "," ",IF(MOD(A41,2)=MOD(2*$E$8,2),-$E$5*$E$4*(C41-C40),0))</f>
        <v xml:space="preserve"> </v>
      </c>
      <c r="G41" s="36" t="str">
        <f t="shared" si="2"/>
        <v xml:space="preserve"> </v>
      </c>
      <c r="H41" s="223" t="str">
        <f>IF(AND(G41&lt;&gt;0,A41&lt;=2*$E$8),DAYS360(B40,B41)/360," ")</f>
        <v xml:space="preserve"> </v>
      </c>
      <c r="I41" s="54" t="str">
        <f>IF(A41=" "," ",E41*(B41-#REF!)/360*$E$4)</f>
        <v xml:space="preserve"> </v>
      </c>
      <c r="J41" s="35" t="str">
        <f t="shared" si="3"/>
        <v xml:space="preserve"> </v>
      </c>
      <c r="K41" s="35" t="str">
        <f t="shared" si="4"/>
        <v xml:space="preserve"> </v>
      </c>
      <c r="L41" s="35" t="str">
        <f t="shared" si="5"/>
        <v xml:space="preserve"> </v>
      </c>
      <c r="M41" s="43">
        <f>$E$9</f>
        <v>3.7199999999999962E-2</v>
      </c>
      <c r="N41" s="359" t="str">
        <f t="shared" si="14"/>
        <v xml:space="preserve"> </v>
      </c>
      <c r="O41" s="35" t="str">
        <f t="shared" si="6"/>
        <v xml:space="preserve"> </v>
      </c>
      <c r="P41" s="35" t="str">
        <f t="shared" si="7"/>
        <v/>
      </c>
      <c r="Q41" s="55"/>
      <c r="R41" s="56"/>
      <c r="S41" s="57" t="str">
        <f t="shared" si="8"/>
        <v xml:space="preserve"> </v>
      </c>
      <c r="T41" s="58" t="str">
        <f t="shared" si="9"/>
        <v xml:space="preserve"> </v>
      </c>
      <c r="U41" s="42" t="str">
        <f t="shared" si="10"/>
        <v xml:space="preserve"> </v>
      </c>
      <c r="V41" s="10"/>
    </row>
    <row r="42" spans="1:22">
      <c r="B42" s="52"/>
      <c r="C42" s="200" t="s">
        <v>41</v>
      </c>
      <c r="D42" s="224">
        <f>SUMPRODUCT(D13:D41,H13:H41)</f>
        <v>4.5343265757971096</v>
      </c>
      <c r="E42" s="60"/>
      <c r="F42" s="62" t="s">
        <v>42</v>
      </c>
      <c r="G42" s="35">
        <f>SUM(G13:G41)</f>
        <v>-165502.92001659449</v>
      </c>
      <c r="H42" s="45"/>
      <c r="I42" s="63"/>
      <c r="J42" s="35">
        <f>SUM(J13:J41)</f>
        <v>168676.94861965228</v>
      </c>
      <c r="K42" s="64"/>
      <c r="L42" s="65">
        <f>SUM(L13:L41)</f>
        <v>3174.0286030578009</v>
      </c>
      <c r="M42" s="20"/>
      <c r="N42" s="66"/>
      <c r="O42" s="67"/>
      <c r="P42" s="68">
        <f>SUM(P14:P41)</f>
        <v>-996825.97139694216</v>
      </c>
      <c r="Q42" s="67"/>
      <c r="R42" s="35">
        <f>R13</f>
        <v>1000000</v>
      </c>
      <c r="S42" s="67"/>
      <c r="T42" s="67"/>
      <c r="U42" s="69">
        <f>SUM(U13:U41)</f>
        <v>3174.0286030577263</v>
      </c>
      <c r="V42" s="10"/>
    </row>
    <row r="43" spans="1:22">
      <c r="B43" s="10"/>
      <c r="C43" s="10"/>
      <c r="D43" s="10"/>
      <c r="E43" s="10"/>
      <c r="F43" s="10"/>
      <c r="G43" s="180"/>
      <c r="H43" s="180"/>
      <c r="I43" s="180"/>
      <c r="J43" s="180"/>
      <c r="K43" s="180"/>
      <c r="L43" s="180"/>
      <c r="M43" s="10"/>
      <c r="N43" s="66"/>
      <c r="O43" s="10"/>
      <c r="P43" s="10"/>
      <c r="Q43" s="10"/>
      <c r="R43" s="10"/>
      <c r="S43" s="10"/>
      <c r="T43" s="10"/>
      <c r="U43" s="10"/>
    </row>
    <row r="44" spans="1:22">
      <c r="A44" s="11"/>
    </row>
    <row r="45" spans="1:22">
      <c r="A45" s="11"/>
    </row>
    <row r="46" spans="1:22">
      <c r="A46" s="11"/>
    </row>
    <row r="47" spans="1:22">
      <c r="A47" s="11"/>
    </row>
    <row r="48" spans="1:22">
      <c r="A48" s="11"/>
    </row>
    <row r="49" spans="1:1">
      <c r="A49" s="11"/>
    </row>
    <row r="50" spans="1:1">
      <c r="A50" s="11"/>
    </row>
    <row r="51" spans="1:1">
      <c r="A51" s="11"/>
    </row>
    <row r="52" spans="1:1">
      <c r="A52" s="11"/>
    </row>
    <row r="53" spans="1:1">
      <c r="A53" s="11"/>
    </row>
    <row r="54" spans="1:1">
      <c r="A54" s="11"/>
    </row>
    <row r="55" spans="1:1">
      <c r="A55" s="11"/>
    </row>
    <row r="56" spans="1:1">
      <c r="A56" s="11"/>
    </row>
    <row r="57" spans="1:1">
      <c r="A57" s="11"/>
    </row>
    <row r="58" spans="1:1">
      <c r="A58" s="11"/>
    </row>
    <row r="59" spans="1:1">
      <c r="A59" s="11"/>
    </row>
    <row r="60" spans="1:1">
      <c r="A60" s="11"/>
    </row>
    <row r="61" spans="1:1">
      <c r="A61" s="11"/>
    </row>
    <row r="62" spans="1:1">
      <c r="A62" s="11"/>
    </row>
    <row r="63" spans="1:1">
      <c r="A63" s="11"/>
    </row>
    <row r="64" spans="1:1">
      <c r="A64" s="11"/>
    </row>
    <row r="65" spans="1:1">
      <c r="A65" s="11"/>
    </row>
    <row r="66" spans="1:1">
      <c r="A66" s="11"/>
    </row>
    <row r="67" spans="1:1">
      <c r="A67" s="11"/>
    </row>
    <row r="68" spans="1:1">
      <c r="A68" s="11"/>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row r="79" spans="1:1">
      <c r="A79" s="11"/>
    </row>
    <row r="80" spans="1:1">
      <c r="A80" s="11"/>
    </row>
    <row r="81" spans="1:1">
      <c r="A81" s="11"/>
    </row>
    <row r="82" spans="1:1">
      <c r="A82" s="11"/>
    </row>
    <row r="83" spans="1:1">
      <c r="A83" s="11"/>
    </row>
    <row r="84" spans="1:1">
      <c r="A84" s="11"/>
    </row>
    <row r="85" spans="1:1">
      <c r="A85" s="11"/>
    </row>
    <row r="86" spans="1:1">
      <c r="A86" s="11"/>
    </row>
    <row r="87" spans="1:1">
      <c r="A87" s="11"/>
    </row>
    <row r="88" spans="1:1">
      <c r="A88" s="11"/>
    </row>
    <row r="89" spans="1:1">
      <c r="A89" s="11"/>
    </row>
    <row r="90" spans="1:1">
      <c r="A90" s="11"/>
    </row>
    <row r="91" spans="1:1">
      <c r="A91" s="11"/>
    </row>
    <row r="92" spans="1:1">
      <c r="A92" s="11"/>
    </row>
    <row r="93" spans="1:1">
      <c r="A93" s="11"/>
    </row>
    <row r="94" spans="1:1">
      <c r="A94" s="11"/>
    </row>
    <row r="95" spans="1:1">
      <c r="A95" s="11"/>
    </row>
    <row r="96" spans="1:1">
      <c r="A96" s="11"/>
    </row>
    <row r="97" spans="1:1">
      <c r="A97" s="11"/>
    </row>
    <row r="98" spans="1:1">
      <c r="A98" s="11"/>
    </row>
    <row r="99" spans="1:1">
      <c r="A99" s="11"/>
    </row>
    <row r="100" spans="1:1">
      <c r="A100" s="11"/>
    </row>
    <row r="101" spans="1:1">
      <c r="A101" s="11"/>
    </row>
    <row r="102" spans="1:1">
      <c r="A102" s="11"/>
    </row>
    <row r="103" spans="1:1">
      <c r="A103" s="11"/>
    </row>
    <row r="104" spans="1:1">
      <c r="A104" s="11"/>
    </row>
    <row r="105" spans="1:1">
      <c r="A105" s="11"/>
    </row>
    <row r="106" spans="1:1">
      <c r="A106" s="11"/>
    </row>
    <row r="107" spans="1:1">
      <c r="A107" s="11"/>
    </row>
    <row r="108" spans="1:1">
      <c r="A108" s="11"/>
    </row>
    <row r="109" spans="1:1">
      <c r="A109" s="11"/>
    </row>
    <row r="110" spans="1:1">
      <c r="A110" s="11"/>
    </row>
    <row r="111" spans="1:1">
      <c r="A111" s="11"/>
    </row>
    <row r="112" spans="1:1">
      <c r="A112" s="11"/>
    </row>
    <row r="113" spans="1:1">
      <c r="A113" s="11"/>
    </row>
    <row r="114" spans="1:1">
      <c r="A114" s="11"/>
    </row>
    <row r="115" spans="1:1">
      <c r="A115" s="11"/>
    </row>
    <row r="116" spans="1:1">
      <c r="A116" s="11"/>
    </row>
    <row r="117" spans="1:1">
      <c r="A117" s="11"/>
    </row>
    <row r="118" spans="1:1">
      <c r="A118" s="11"/>
    </row>
    <row r="119" spans="1:1">
      <c r="A119" s="11"/>
    </row>
    <row r="120" spans="1:1">
      <c r="A120" s="11"/>
    </row>
    <row r="121" spans="1:1">
      <c r="A121" s="11"/>
    </row>
    <row r="122" spans="1:1">
      <c r="A122" s="11"/>
    </row>
    <row r="123" spans="1:1">
      <c r="A123" s="11"/>
    </row>
    <row r="124" spans="1:1">
      <c r="A124" s="11"/>
    </row>
    <row r="125" spans="1:1">
      <c r="A125" s="11"/>
    </row>
    <row r="126" spans="1:1">
      <c r="A126" s="11"/>
    </row>
    <row r="127" spans="1:1">
      <c r="A127" s="11"/>
    </row>
    <row r="128" spans="1:1">
      <c r="A128" s="11"/>
    </row>
    <row r="129" spans="1:1">
      <c r="A129" s="11"/>
    </row>
    <row r="130" spans="1:1">
      <c r="A130" s="11"/>
    </row>
    <row r="131" spans="1:1">
      <c r="A131" s="11"/>
    </row>
    <row r="132" spans="1:1">
      <c r="A132" s="11"/>
    </row>
    <row r="133" spans="1:1">
      <c r="A133" s="11"/>
    </row>
    <row r="134" spans="1:1">
      <c r="A134" s="11"/>
    </row>
    <row r="135" spans="1:1">
      <c r="A135" s="11"/>
    </row>
    <row r="136" spans="1:1">
      <c r="A136" s="11"/>
    </row>
    <row r="137" spans="1:1">
      <c r="A137" s="11"/>
    </row>
    <row r="138" spans="1:1">
      <c r="A138" s="11"/>
    </row>
    <row r="139" spans="1:1">
      <c r="A139" s="11"/>
    </row>
    <row r="140" spans="1:1">
      <c r="A140" s="11"/>
    </row>
    <row r="141" spans="1:1">
      <c r="A141" s="11"/>
    </row>
    <row r="142" spans="1:1">
      <c r="A142" s="11"/>
    </row>
    <row r="143" spans="1:1">
      <c r="A143" s="11"/>
    </row>
    <row r="144" spans="1:1">
      <c r="A144" s="11"/>
    </row>
    <row r="145" spans="1:1">
      <c r="A145" s="11"/>
    </row>
    <row r="146" spans="1:1">
      <c r="A146" s="11"/>
    </row>
    <row r="147" spans="1:1">
      <c r="A147" s="11"/>
    </row>
    <row r="148" spans="1:1">
      <c r="A148" s="11"/>
    </row>
    <row r="149" spans="1:1">
      <c r="A149" s="11"/>
    </row>
    <row r="150" spans="1:1">
      <c r="A150" s="11"/>
    </row>
    <row r="151" spans="1:1">
      <c r="A151" s="11"/>
    </row>
    <row r="152" spans="1:1">
      <c r="A152" s="11"/>
    </row>
    <row r="153" spans="1:1">
      <c r="A153" s="11"/>
    </row>
    <row r="154" spans="1:1">
      <c r="A154" s="11"/>
    </row>
    <row r="155" spans="1:1">
      <c r="A155" s="11"/>
    </row>
    <row r="156" spans="1:1">
      <c r="A156" s="11"/>
    </row>
    <row r="157" spans="1:1">
      <c r="A157" s="11"/>
    </row>
    <row r="158" spans="1:1">
      <c r="A158" s="11"/>
    </row>
    <row r="159" spans="1:1">
      <c r="A159" s="11"/>
    </row>
    <row r="160" spans="1:1">
      <c r="A160" s="11"/>
    </row>
    <row r="161" spans="1:1">
      <c r="A161" s="11"/>
    </row>
    <row r="162" spans="1:1">
      <c r="A162" s="11"/>
    </row>
    <row r="163" spans="1:1">
      <c r="A163" s="11"/>
    </row>
    <row r="164" spans="1:1">
      <c r="A164" s="11"/>
    </row>
    <row r="165" spans="1:1">
      <c r="A165" s="11"/>
    </row>
    <row r="166" spans="1:1">
      <c r="A166" s="11"/>
    </row>
    <row r="167" spans="1:1">
      <c r="A167" s="11"/>
    </row>
    <row r="168" spans="1:1">
      <c r="A168" s="11"/>
    </row>
    <row r="169" spans="1:1">
      <c r="A169" s="11"/>
    </row>
    <row r="170" spans="1:1">
      <c r="A170" s="11"/>
    </row>
    <row r="171" spans="1:1">
      <c r="A171" s="11"/>
    </row>
    <row r="172" spans="1:1">
      <c r="A172" s="11"/>
    </row>
    <row r="173" spans="1:1">
      <c r="A173" s="11"/>
    </row>
    <row r="174" spans="1:1">
      <c r="A174" s="11"/>
    </row>
    <row r="175" spans="1:1">
      <c r="A175" s="11"/>
    </row>
    <row r="176" spans="1:1">
      <c r="A176" s="11"/>
    </row>
    <row r="177" spans="1:1">
      <c r="A177" s="11"/>
    </row>
    <row r="178" spans="1:1">
      <c r="A178" s="11"/>
    </row>
    <row r="179" spans="1:1">
      <c r="A179" s="11"/>
    </row>
    <row r="180" spans="1:1">
      <c r="A180" s="11"/>
    </row>
    <row r="181" spans="1:1">
      <c r="A181" s="11"/>
    </row>
    <row r="182" spans="1:1">
      <c r="A182" s="11"/>
    </row>
    <row r="183" spans="1:1">
      <c r="A183" s="11"/>
    </row>
    <row r="184" spans="1:1">
      <c r="A184" s="11"/>
    </row>
    <row r="185" spans="1:1">
      <c r="A185" s="11"/>
    </row>
    <row r="186" spans="1:1">
      <c r="A186" s="11"/>
    </row>
    <row r="187" spans="1:1">
      <c r="A187" s="11"/>
    </row>
    <row r="188" spans="1:1">
      <c r="A188" s="11"/>
    </row>
    <row r="189" spans="1:1">
      <c r="A189" s="11"/>
    </row>
    <row r="190" spans="1:1">
      <c r="A190" s="11"/>
    </row>
    <row r="191" spans="1:1">
      <c r="A191" s="11"/>
    </row>
    <row r="192" spans="1:1">
      <c r="A192" s="11"/>
    </row>
    <row r="193" spans="1:1">
      <c r="A193" s="11"/>
    </row>
    <row r="194" spans="1:1">
      <c r="A194" s="11"/>
    </row>
    <row r="195" spans="1:1">
      <c r="A195" s="11"/>
    </row>
    <row r="196" spans="1:1">
      <c r="A196" s="11"/>
    </row>
    <row r="197" spans="1:1">
      <c r="A197" s="11"/>
    </row>
    <row r="198" spans="1:1">
      <c r="A198" s="11"/>
    </row>
    <row r="199" spans="1:1">
      <c r="A199" s="11"/>
    </row>
    <row r="200" spans="1:1">
      <c r="A200" s="11"/>
    </row>
    <row r="201" spans="1:1">
      <c r="A201" s="11"/>
    </row>
    <row r="202" spans="1:1">
      <c r="A202" s="11"/>
    </row>
    <row r="203" spans="1:1">
      <c r="A203" s="11"/>
    </row>
    <row r="204" spans="1:1">
      <c r="A204" s="11"/>
    </row>
    <row r="205" spans="1:1">
      <c r="A205" s="11"/>
    </row>
    <row r="206" spans="1:1">
      <c r="A206" s="11"/>
    </row>
    <row r="207" spans="1:1">
      <c r="A207" s="11"/>
    </row>
    <row r="208" spans="1:1">
      <c r="A208" s="11"/>
    </row>
    <row r="209" spans="1:1">
      <c r="A209" s="11"/>
    </row>
    <row r="210" spans="1:1">
      <c r="A210" s="11"/>
    </row>
    <row r="211" spans="1:1">
      <c r="A211" s="11"/>
    </row>
    <row r="212" spans="1:1">
      <c r="A212" s="11"/>
    </row>
    <row r="213" spans="1:1">
      <c r="A213" s="11"/>
    </row>
    <row r="214" spans="1:1">
      <c r="A214" s="11"/>
    </row>
    <row r="215" spans="1:1">
      <c r="A215" s="11"/>
    </row>
    <row r="216" spans="1:1">
      <c r="A216" s="11"/>
    </row>
    <row r="217" spans="1:1">
      <c r="A217" s="11"/>
    </row>
    <row r="218" spans="1:1">
      <c r="A218" s="11"/>
    </row>
    <row r="219" spans="1:1">
      <c r="A219" s="11"/>
    </row>
    <row r="220" spans="1:1">
      <c r="A220" s="11"/>
    </row>
    <row r="221" spans="1:1">
      <c r="A221" s="11"/>
    </row>
    <row r="222" spans="1:1">
      <c r="A222" s="11"/>
    </row>
    <row r="223" spans="1:1">
      <c r="A223" s="11"/>
    </row>
    <row r="224" spans="1:1">
      <c r="A224" s="11"/>
    </row>
    <row r="225" spans="1:1">
      <c r="A225" s="11"/>
    </row>
    <row r="226" spans="1:1">
      <c r="A226" s="11"/>
    </row>
    <row r="227" spans="1:1">
      <c r="A227" s="11"/>
    </row>
    <row r="228" spans="1:1">
      <c r="A228" s="11"/>
    </row>
    <row r="229" spans="1:1">
      <c r="A229" s="11"/>
    </row>
    <row r="230" spans="1:1">
      <c r="A230" s="11"/>
    </row>
    <row r="231" spans="1:1">
      <c r="A231" s="11"/>
    </row>
    <row r="232" spans="1:1">
      <c r="A232" s="11"/>
    </row>
    <row r="233" spans="1:1">
      <c r="A233" s="11"/>
    </row>
    <row r="234" spans="1:1">
      <c r="A234" s="11"/>
    </row>
    <row r="235" spans="1:1">
      <c r="A235" s="11"/>
    </row>
    <row r="236" spans="1:1">
      <c r="A236" s="11"/>
    </row>
    <row r="237" spans="1:1">
      <c r="A237" s="11"/>
    </row>
    <row r="238" spans="1:1">
      <c r="A238" s="11"/>
    </row>
    <row r="239" spans="1:1">
      <c r="A239" s="11"/>
    </row>
    <row r="240" spans="1:1">
      <c r="A240" s="11"/>
    </row>
    <row r="241" spans="1:1">
      <c r="A241" s="11"/>
    </row>
    <row r="242" spans="1:1">
      <c r="A242" s="11"/>
    </row>
    <row r="243" spans="1:1">
      <c r="A243" s="11"/>
    </row>
    <row r="244" spans="1:1">
      <c r="A244" s="11"/>
    </row>
    <row r="245" spans="1:1">
      <c r="A245" s="11"/>
    </row>
    <row r="246" spans="1:1">
      <c r="A246" s="11"/>
    </row>
    <row r="247" spans="1:1">
      <c r="A247" s="11"/>
    </row>
    <row r="248" spans="1:1">
      <c r="A248" s="11"/>
    </row>
    <row r="249" spans="1:1">
      <c r="A249" s="11"/>
    </row>
    <row r="250" spans="1:1">
      <c r="A250" s="11"/>
    </row>
    <row r="251" spans="1:1">
      <c r="A251" s="11"/>
    </row>
    <row r="252" spans="1:1">
      <c r="A252" s="11"/>
    </row>
    <row r="253" spans="1:1">
      <c r="A253" s="11"/>
    </row>
    <row r="254" spans="1:1">
      <c r="A254" s="11"/>
    </row>
    <row r="255" spans="1:1">
      <c r="A255" s="11"/>
    </row>
    <row r="256" spans="1:1">
      <c r="A256" s="11"/>
    </row>
    <row r="257" spans="1:1">
      <c r="A257" s="11"/>
    </row>
    <row r="258" spans="1:1">
      <c r="A258" s="11"/>
    </row>
    <row r="259" spans="1:1">
      <c r="A259" s="11"/>
    </row>
    <row r="260" spans="1:1">
      <c r="A260" s="11"/>
    </row>
    <row r="261" spans="1:1">
      <c r="A261" s="11"/>
    </row>
    <row r="262" spans="1:1">
      <c r="A262" s="11"/>
    </row>
    <row r="263" spans="1:1">
      <c r="A263" s="11"/>
    </row>
    <row r="264" spans="1:1">
      <c r="A264" s="11"/>
    </row>
    <row r="265" spans="1:1">
      <c r="A265" s="11"/>
    </row>
    <row r="266" spans="1:1">
      <c r="A266" s="11"/>
    </row>
    <row r="267" spans="1:1">
      <c r="A267" s="11"/>
    </row>
    <row r="268" spans="1:1">
      <c r="A268" s="11"/>
    </row>
    <row r="269" spans="1:1">
      <c r="A269" s="11"/>
    </row>
    <row r="270" spans="1:1">
      <c r="A270" s="11"/>
    </row>
    <row r="271" spans="1:1">
      <c r="A271" s="11"/>
    </row>
    <row r="272" spans="1:1">
      <c r="A272" s="11"/>
    </row>
    <row r="273" spans="1:1">
      <c r="A273" s="11"/>
    </row>
    <row r="274" spans="1:1">
      <c r="A274" s="11"/>
    </row>
    <row r="275" spans="1:1">
      <c r="A275" s="11"/>
    </row>
    <row r="276" spans="1:1">
      <c r="A276" s="11"/>
    </row>
    <row r="277" spans="1:1">
      <c r="A277" s="11"/>
    </row>
    <row r="278" spans="1:1">
      <c r="A278" s="11"/>
    </row>
    <row r="279" spans="1:1">
      <c r="A279" s="11"/>
    </row>
    <row r="280" spans="1:1">
      <c r="A280" s="11"/>
    </row>
    <row r="281" spans="1:1">
      <c r="A281" s="11"/>
    </row>
    <row r="282" spans="1:1">
      <c r="A282" s="11"/>
    </row>
    <row r="283" spans="1:1">
      <c r="A283" s="11"/>
    </row>
    <row r="284" spans="1:1">
      <c r="A284" s="11"/>
    </row>
    <row r="285" spans="1:1">
      <c r="A285" s="11"/>
    </row>
    <row r="286" spans="1:1">
      <c r="A286" s="11"/>
    </row>
    <row r="287" spans="1:1">
      <c r="A287" s="11"/>
    </row>
    <row r="288" spans="1:1">
      <c r="A288" s="11"/>
    </row>
    <row r="289" spans="1:1">
      <c r="A289" s="11"/>
    </row>
    <row r="290" spans="1:1">
      <c r="A290" s="11"/>
    </row>
    <row r="291" spans="1:1">
      <c r="A291" s="11"/>
    </row>
    <row r="292" spans="1:1">
      <c r="A292" s="11"/>
    </row>
    <row r="293" spans="1:1">
      <c r="A293" s="11"/>
    </row>
    <row r="294" spans="1:1">
      <c r="A294" s="11"/>
    </row>
    <row r="295" spans="1:1">
      <c r="A295" s="11"/>
    </row>
    <row r="296" spans="1:1">
      <c r="A296" s="11"/>
    </row>
    <row r="297" spans="1:1">
      <c r="A297" s="11"/>
    </row>
    <row r="298" spans="1:1">
      <c r="A298" s="11"/>
    </row>
    <row r="299" spans="1:1">
      <c r="A299" s="11"/>
    </row>
    <row r="300" spans="1:1">
      <c r="A300" s="11"/>
    </row>
    <row r="301" spans="1:1">
      <c r="A301" s="11"/>
    </row>
    <row r="302" spans="1:1">
      <c r="A302" s="11"/>
    </row>
    <row r="303" spans="1:1">
      <c r="A303" s="11"/>
    </row>
    <row r="304" spans="1:1">
      <c r="A304" s="11"/>
    </row>
    <row r="305" spans="1:1">
      <c r="A305" s="11"/>
    </row>
    <row r="306" spans="1:1">
      <c r="A306" s="11"/>
    </row>
    <row r="307" spans="1:1">
      <c r="A307" s="11"/>
    </row>
    <row r="308" spans="1:1">
      <c r="A308" s="11"/>
    </row>
    <row r="309" spans="1:1">
      <c r="A309" s="11"/>
    </row>
    <row r="310" spans="1:1">
      <c r="A310" s="11"/>
    </row>
    <row r="311" spans="1:1">
      <c r="A311" s="11"/>
    </row>
    <row r="312" spans="1:1">
      <c r="A312" s="11"/>
    </row>
    <row r="313" spans="1:1">
      <c r="A313" s="11"/>
    </row>
    <row r="314" spans="1:1">
      <c r="A314" s="11"/>
    </row>
    <row r="315" spans="1:1">
      <c r="A315" s="11"/>
    </row>
    <row r="316" spans="1:1">
      <c r="A316" s="11"/>
    </row>
    <row r="317" spans="1:1">
      <c r="A317" s="11"/>
    </row>
    <row r="318" spans="1:1">
      <c r="A318" s="11"/>
    </row>
    <row r="319" spans="1:1">
      <c r="A319" s="11"/>
    </row>
    <row r="320" spans="1:1">
      <c r="A320" s="11"/>
    </row>
    <row r="321" spans="1:1">
      <c r="A321" s="11"/>
    </row>
    <row r="322" spans="1:1">
      <c r="A322" s="11"/>
    </row>
    <row r="323" spans="1:1">
      <c r="A323" s="11"/>
    </row>
    <row r="324" spans="1:1">
      <c r="A324" s="11"/>
    </row>
    <row r="325" spans="1:1">
      <c r="A325" s="11"/>
    </row>
    <row r="326" spans="1:1">
      <c r="A326" s="11"/>
    </row>
    <row r="327" spans="1:1">
      <c r="A327" s="11"/>
    </row>
    <row r="328" spans="1:1">
      <c r="A328" s="11"/>
    </row>
    <row r="329" spans="1:1">
      <c r="A329" s="11"/>
    </row>
    <row r="330" spans="1:1">
      <c r="A330" s="11"/>
    </row>
    <row r="331" spans="1:1">
      <c r="A331" s="11"/>
    </row>
    <row r="332" spans="1:1">
      <c r="A332" s="11"/>
    </row>
    <row r="333" spans="1:1">
      <c r="A333" s="11"/>
    </row>
    <row r="334" spans="1:1">
      <c r="A334" s="11"/>
    </row>
    <row r="335" spans="1:1">
      <c r="A335" s="11"/>
    </row>
    <row r="336" spans="1:1">
      <c r="A336" s="11"/>
    </row>
    <row r="337" spans="1:1">
      <c r="A337" s="11"/>
    </row>
    <row r="338" spans="1:1">
      <c r="A338" s="11"/>
    </row>
    <row r="339" spans="1:1">
      <c r="A339" s="11"/>
    </row>
    <row r="340" spans="1:1">
      <c r="A340" s="11"/>
    </row>
    <row r="341" spans="1:1">
      <c r="A341" s="11"/>
    </row>
    <row r="342" spans="1:1">
      <c r="A342" s="11"/>
    </row>
    <row r="343" spans="1:1">
      <c r="A343" s="11"/>
    </row>
    <row r="344" spans="1:1">
      <c r="A344" s="11"/>
    </row>
    <row r="345" spans="1:1">
      <c r="A345" s="11"/>
    </row>
    <row r="346" spans="1:1">
      <c r="A346" s="11"/>
    </row>
    <row r="347" spans="1:1">
      <c r="A347" s="11"/>
    </row>
    <row r="348" spans="1:1">
      <c r="A348" s="11"/>
    </row>
    <row r="349" spans="1:1">
      <c r="A349" s="11"/>
    </row>
    <row r="350" spans="1:1">
      <c r="A350" s="11"/>
    </row>
    <row r="351" spans="1:1">
      <c r="A351" s="11"/>
    </row>
    <row r="352" spans="1:1">
      <c r="A352" s="11"/>
    </row>
    <row r="353" spans="1:1">
      <c r="A353" s="11"/>
    </row>
    <row r="354" spans="1:1">
      <c r="A354" s="11"/>
    </row>
    <row r="355" spans="1:1">
      <c r="A355" s="11"/>
    </row>
    <row r="356" spans="1:1">
      <c r="A356" s="11"/>
    </row>
    <row r="357" spans="1:1">
      <c r="A357" s="11"/>
    </row>
    <row r="358" spans="1:1">
      <c r="A358" s="11"/>
    </row>
    <row r="359" spans="1:1">
      <c r="A359" s="11"/>
    </row>
    <row r="360" spans="1:1">
      <c r="A360" s="11"/>
    </row>
    <row r="361" spans="1:1">
      <c r="A361" s="11"/>
    </row>
    <row r="362" spans="1:1">
      <c r="A362" s="11"/>
    </row>
    <row r="363" spans="1:1">
      <c r="A363" s="11"/>
    </row>
    <row r="364" spans="1:1">
      <c r="A364" s="11"/>
    </row>
    <row r="365" spans="1:1">
      <c r="A365" s="11"/>
    </row>
    <row r="366" spans="1:1">
      <c r="A366" s="11"/>
    </row>
    <row r="367" spans="1:1">
      <c r="A367" s="11"/>
    </row>
    <row r="368" spans="1:1">
      <c r="A368" s="11"/>
    </row>
    <row r="369" spans="1:1">
      <c r="A369" s="11"/>
    </row>
    <row r="370" spans="1:1">
      <c r="A370" s="11"/>
    </row>
    <row r="371" spans="1:1">
      <c r="A371" s="11"/>
    </row>
    <row r="372" spans="1:1">
      <c r="A372" s="11"/>
    </row>
    <row r="373" spans="1:1">
      <c r="A373" s="11"/>
    </row>
    <row r="374" spans="1:1">
      <c r="A374" s="11"/>
    </row>
    <row r="375" spans="1:1">
      <c r="A375" s="11"/>
    </row>
    <row r="376" spans="1:1">
      <c r="A376" s="11"/>
    </row>
    <row r="377" spans="1:1">
      <c r="A377" s="11"/>
    </row>
    <row r="378" spans="1:1">
      <c r="A378" s="11"/>
    </row>
    <row r="379" spans="1:1">
      <c r="A379" s="11"/>
    </row>
    <row r="380" spans="1:1">
      <c r="A380" s="11"/>
    </row>
    <row r="381" spans="1:1">
      <c r="A381" s="11"/>
    </row>
    <row r="382" spans="1:1">
      <c r="A382" s="11"/>
    </row>
    <row r="383" spans="1:1">
      <c r="A383" s="11"/>
    </row>
    <row r="384" spans="1:1">
      <c r="A384" s="11"/>
    </row>
  </sheetData>
  <mergeCells count="4">
    <mergeCell ref="A1:E1"/>
    <mergeCell ref="O11:U11"/>
    <mergeCell ref="A8:D8"/>
    <mergeCell ref="G3:I3"/>
  </mergeCells>
  <phoneticPr fontId="5" type="noConversion"/>
  <printOptions gridLines="1" gridLinesSet="0"/>
  <pageMargins left="0.78740157499999996" right="0.78740157499999996" top="0.984251969" bottom="0.984251969" header="0.51181102300000003" footer="0.51181102300000003"/>
  <pageSetup paperSize="9" orientation="portrait" horizontalDpi="300" verticalDpi="300" r:id="rId1"/>
  <headerFooter alignWithMargins="0">
    <oddHeader>&amp;F</oddHeader>
    <oddFooter>Seite &amp;P</oddFooter>
  </headerFooter>
  <legacy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workbookViewId="0">
      <selection activeCell="E2" sqref="E2"/>
    </sheetView>
  </sheetViews>
  <sheetFormatPr baseColWidth="10" defaultRowHeight="12.75"/>
  <cols>
    <col min="1" max="1" width="4.140625" style="11" customWidth="1"/>
    <col min="2" max="2" width="9.42578125" style="11" customWidth="1"/>
    <col min="3" max="3" width="7.5703125" style="11" customWidth="1"/>
    <col min="4" max="4" width="8.28515625" style="11" customWidth="1"/>
    <col min="5" max="5" width="12.7109375" style="11" customWidth="1"/>
    <col min="6" max="6" width="11.7109375" style="11" customWidth="1"/>
    <col min="7" max="7" width="11" style="11" customWidth="1"/>
    <col min="8" max="8" width="10.85546875" style="11" customWidth="1"/>
    <col min="9" max="9" width="11.5703125" style="11" customWidth="1"/>
    <col min="10" max="10" width="9.7109375" style="11" customWidth="1"/>
    <col min="11" max="11" width="5.28515625" style="11" customWidth="1"/>
    <col min="12" max="12" width="11.42578125" style="11"/>
    <col min="13" max="13" width="11" style="11" customWidth="1"/>
    <col min="14" max="14" width="10.28515625" style="11" customWidth="1"/>
    <col min="15" max="15" width="10.7109375" style="11" customWidth="1"/>
    <col min="16" max="16384" width="11.42578125" style="11"/>
  </cols>
  <sheetData>
    <row r="1" spans="1:17">
      <c r="A1" s="173" t="s">
        <v>180</v>
      </c>
      <c r="B1" s="10"/>
      <c r="C1" s="10"/>
      <c r="D1" s="10"/>
      <c r="E1" s="10"/>
      <c r="F1" s="10"/>
      <c r="G1" s="10"/>
      <c r="H1" s="10"/>
      <c r="I1" s="10"/>
      <c r="J1" s="10"/>
      <c r="K1" s="10"/>
      <c r="L1" s="10"/>
      <c r="M1" s="10"/>
      <c r="N1" s="10"/>
      <c r="O1" s="10"/>
      <c r="P1" s="10"/>
      <c r="Q1" s="10"/>
    </row>
    <row r="2" spans="1:17">
      <c r="A2" s="12" t="s">
        <v>17</v>
      </c>
      <c r="B2" s="13"/>
      <c r="C2" s="13"/>
      <c r="D2" s="14"/>
      <c r="E2" s="15">
        <v>100000</v>
      </c>
      <c r="F2" s="10"/>
      <c r="G2" s="10"/>
      <c r="H2" s="10"/>
      <c r="I2" s="10"/>
      <c r="J2" s="10"/>
      <c r="K2" s="10"/>
      <c r="L2" s="10"/>
      <c r="M2" s="10"/>
      <c r="N2" s="10"/>
      <c r="O2" s="10"/>
      <c r="P2" s="10"/>
      <c r="Q2" s="10"/>
    </row>
    <row r="3" spans="1:17">
      <c r="A3" s="17" t="s">
        <v>181</v>
      </c>
      <c r="B3" s="13"/>
      <c r="C3" s="13"/>
      <c r="D3" s="14"/>
      <c r="E3" s="193">
        <v>6.0999999999999999E-2</v>
      </c>
      <c r="F3" s="9" t="s">
        <v>398</v>
      </c>
      <c r="G3" s="10"/>
      <c r="H3" s="194">
        <v>0</v>
      </c>
      <c r="I3" s="10"/>
      <c r="J3" s="10"/>
      <c r="K3" s="10"/>
      <c r="L3" s="10"/>
      <c r="M3" s="10"/>
      <c r="N3" s="10"/>
      <c r="O3" s="10"/>
      <c r="P3" s="10"/>
      <c r="Q3" s="10"/>
    </row>
    <row r="4" spans="1:17">
      <c r="A4" s="17" t="s">
        <v>19</v>
      </c>
      <c r="B4" s="13"/>
      <c r="C4" s="13"/>
      <c r="D4" s="14"/>
      <c r="E4" s="18">
        <v>10</v>
      </c>
      <c r="F4" s="10"/>
      <c r="G4" s="10"/>
      <c r="H4" s="10"/>
      <c r="I4" s="10"/>
      <c r="J4" s="10"/>
      <c r="K4" s="10"/>
      <c r="L4" s="10"/>
      <c r="M4" s="10"/>
      <c r="N4" s="10"/>
      <c r="O4" s="10"/>
      <c r="P4" s="10"/>
      <c r="Q4" s="10"/>
    </row>
    <row r="5" spans="1:17">
      <c r="A5" s="17" t="s">
        <v>182</v>
      </c>
      <c r="B5" s="13"/>
      <c r="C5" s="13"/>
      <c r="D5" s="14"/>
      <c r="E5" s="195">
        <f>(1-VLOOKUP($E$4,$A$8:$C$22,3))/$C$23+G3</f>
        <v>5.9703949340470665E-2</v>
      </c>
      <c r="F5" s="10"/>
      <c r="G5" s="10"/>
      <c r="H5" s="10"/>
      <c r="I5" s="10"/>
      <c r="J5" s="10"/>
      <c r="K5" s="20"/>
      <c r="L5" s="21" t="s">
        <v>21</v>
      </c>
      <c r="M5" s="10"/>
      <c r="N5" s="10"/>
      <c r="O5" s="10"/>
      <c r="P5" s="10"/>
      <c r="Q5" s="10"/>
    </row>
    <row r="6" spans="1:17">
      <c r="A6" s="21" t="s">
        <v>22</v>
      </c>
      <c r="B6" s="10"/>
      <c r="C6" s="10"/>
      <c r="D6" s="10"/>
      <c r="E6" s="10"/>
      <c r="F6" s="10"/>
      <c r="G6" s="10"/>
      <c r="H6" s="10"/>
      <c r="I6" s="10"/>
      <c r="J6" s="10"/>
      <c r="K6" s="20"/>
      <c r="L6" s="9" t="s">
        <v>183</v>
      </c>
      <c r="M6" s="10"/>
      <c r="N6" s="10"/>
      <c r="O6" s="10"/>
      <c r="P6" s="10"/>
      <c r="Q6" s="10"/>
    </row>
    <row r="7" spans="1:17" ht="57" customHeight="1">
      <c r="A7" s="196" t="s">
        <v>29</v>
      </c>
      <c r="B7" s="196" t="s">
        <v>353</v>
      </c>
      <c r="C7" s="196" t="s">
        <v>30</v>
      </c>
      <c r="D7" s="196" t="s">
        <v>548</v>
      </c>
      <c r="E7" s="197" t="s">
        <v>185</v>
      </c>
      <c r="F7" s="198" t="s">
        <v>186</v>
      </c>
      <c r="G7" s="198" t="s">
        <v>408</v>
      </c>
      <c r="H7" s="198" t="s">
        <v>187</v>
      </c>
      <c r="I7" s="198" t="s">
        <v>188</v>
      </c>
      <c r="J7" s="198" t="s">
        <v>189</v>
      </c>
      <c r="K7" s="25" t="s">
        <v>354</v>
      </c>
      <c r="L7" s="197" t="s">
        <v>190</v>
      </c>
      <c r="M7" s="199" t="s">
        <v>10</v>
      </c>
      <c r="N7" s="197" t="s">
        <v>191</v>
      </c>
      <c r="O7" s="199" t="s">
        <v>10</v>
      </c>
      <c r="P7" s="197" t="s">
        <v>40</v>
      </c>
      <c r="Q7" s="10"/>
    </row>
    <row r="8" spans="1:17">
      <c r="A8" s="200">
        <v>1</v>
      </c>
      <c r="B8" s="32">
        <v>0.04</v>
      </c>
      <c r="C8" s="201">
        <f t="shared" ref="C8:C17" si="0">IF(A8=" ","",1/(1+B8)^A8)</f>
        <v>0.96153846153846145</v>
      </c>
      <c r="D8" s="202">
        <f>B8</f>
        <v>0.04</v>
      </c>
      <c r="E8" s="35">
        <f>E2*E3</f>
        <v>6100</v>
      </c>
      <c r="F8" s="35">
        <f>IF(A8=" "," ",E8*C8)</f>
        <v>5865.3846153846152</v>
      </c>
      <c r="G8" s="35">
        <f>(D8+$H$3)*$E$2</f>
        <v>4000</v>
      </c>
      <c r="H8" s="35">
        <f>IF(A8=" "," ",G8*C8)</f>
        <v>3846.1538461538457</v>
      </c>
      <c r="I8" s="35">
        <f>-E8+G8</f>
        <v>-2100</v>
      </c>
      <c r="J8" s="35">
        <f>IF(A8=" "," ",I8*C8)</f>
        <v>-2019.2307692307691</v>
      </c>
      <c r="K8" s="43">
        <f>$E$5</f>
        <v>5.9703949340470665E-2</v>
      </c>
      <c r="L8" s="35">
        <f>IF(A8=" "," ",$E$2*$E$3+IF(A8=$E$4,$E$2,0))</f>
        <v>6100</v>
      </c>
      <c r="M8" s="35">
        <f t="shared" ref="M8:M22" si="1">IF(A8=" ","", L8/(1+B8)^A8)</f>
        <v>5865.3846153846152</v>
      </c>
      <c r="N8" s="42">
        <f>E2*(1+B8+H3)</f>
        <v>104000</v>
      </c>
      <c r="O8" s="35">
        <f>IF(A8=" ","", N8/(1+B8)^A8)</f>
        <v>100000</v>
      </c>
      <c r="P8" s="35">
        <f t="shared" ref="P8:P22" si="2">IF(A8=" "," ",O8-M8)</f>
        <v>94134.61538461539</v>
      </c>
      <c r="Q8" s="10"/>
    </row>
    <row r="9" spans="1:17">
      <c r="A9" s="200">
        <f t="shared" ref="A9:A22" si="3">IF(A8=" "," ",IF(A8=$E$4," ",A8+1))</f>
        <v>2</v>
      </c>
      <c r="B9" s="32">
        <v>4.2500000000000003E-2</v>
      </c>
      <c r="C9" s="201">
        <f t="shared" si="0"/>
        <v>0.92012720758644884</v>
      </c>
      <c r="D9" s="202">
        <f t="shared" ref="D9:D18" si="4">IF(A9=" "," ",(1+B9)^ A9/(1+B8)^A8-1)</f>
        <v>4.500600961538459E-2</v>
      </c>
      <c r="E9" s="35">
        <f>IF(A9=" "," ",E8)</f>
        <v>6100</v>
      </c>
      <c r="F9" s="35">
        <f t="shared" ref="F9:F22" si="5">IF(A9=" "," ",E9*C9)</f>
        <v>5612.7759662773378</v>
      </c>
      <c r="G9" s="35">
        <f t="shared" ref="G9:G22" si="6">IF(A9=" "," ",(D9+$H$3)*$E$2)</f>
        <v>4500.6009615384592</v>
      </c>
      <c r="H9" s="35">
        <f t="shared" ref="H9:H22" si="7">IF(A9=" "," ",G9*C9)</f>
        <v>4141.1253952012694</v>
      </c>
      <c r="I9" s="35">
        <f>IF(A9=" "," ",-E9+G9)</f>
        <v>-1599.3990384615408</v>
      </c>
      <c r="J9" s="35">
        <f t="shared" ref="J9:J22" si="8">IF(A9=" "," ",I9*C9)</f>
        <v>-1471.6505710760689</v>
      </c>
      <c r="K9" s="43">
        <f t="shared" ref="K9:K22" si="9">$E$5</f>
        <v>5.9703949340470665E-2</v>
      </c>
      <c r="L9" s="35">
        <f t="shared" ref="L9:L22" si="10">IF(A9=" "," ",$E$2*$E$3+IF(A9=$E$4,$E$2,0))</f>
        <v>6100</v>
      </c>
      <c r="M9" s="35">
        <f t="shared" si="1"/>
        <v>5612.7759662773378</v>
      </c>
      <c r="N9" s="52"/>
      <c r="O9" s="52"/>
      <c r="P9" s="35">
        <f t="shared" si="2"/>
        <v>-5612.7759662773378</v>
      </c>
      <c r="Q9" s="10"/>
    </row>
    <row r="10" spans="1:17">
      <c r="A10" s="200">
        <f t="shared" si="3"/>
        <v>3</v>
      </c>
      <c r="B10" s="32">
        <v>4.4999999999999998E-2</v>
      </c>
      <c r="C10" s="201">
        <f t="shared" si="0"/>
        <v>0.87629660405490928</v>
      </c>
      <c r="D10" s="202">
        <f t="shared" si="4"/>
        <v>5.0017999988498207E-2</v>
      </c>
      <c r="E10" s="35">
        <f t="shared" ref="E10:E22" si="11">IF(A10=" "," ",E9)</f>
        <v>6100</v>
      </c>
      <c r="F10" s="35">
        <f t="shared" si="5"/>
        <v>5345.4092847349466</v>
      </c>
      <c r="G10" s="35">
        <f t="shared" si="6"/>
        <v>5001.7999988498204</v>
      </c>
      <c r="H10" s="35">
        <f t="shared" si="7"/>
        <v>4383.0603531539464</v>
      </c>
      <c r="I10" s="35">
        <f t="shared" ref="I10:I22" si="12">IF(A10=" "," ",-E10+G10)</f>
        <v>-1098.2000011501796</v>
      </c>
      <c r="J10" s="35">
        <f t="shared" si="8"/>
        <v>-962.34893158099976</v>
      </c>
      <c r="K10" s="43">
        <f t="shared" si="9"/>
        <v>5.9703949340470665E-2</v>
      </c>
      <c r="L10" s="35">
        <f t="shared" si="10"/>
        <v>6100</v>
      </c>
      <c r="M10" s="35">
        <f t="shared" si="1"/>
        <v>5345.4092847349466</v>
      </c>
      <c r="N10" s="52"/>
      <c r="O10" s="52"/>
      <c r="P10" s="35">
        <f t="shared" si="2"/>
        <v>-5345.4092847349466</v>
      </c>
      <c r="Q10" s="10"/>
    </row>
    <row r="11" spans="1:17">
      <c r="A11" s="200">
        <f t="shared" si="3"/>
        <v>4</v>
      </c>
      <c r="B11" s="32">
        <v>4.8500000000000001E-2</v>
      </c>
      <c r="C11" s="201">
        <f t="shared" si="0"/>
        <v>0.82742046972830918</v>
      </c>
      <c r="D11" s="202">
        <f t="shared" si="4"/>
        <v>5.9070492107415662E-2</v>
      </c>
      <c r="E11" s="35">
        <f t="shared" si="11"/>
        <v>6100</v>
      </c>
      <c r="F11" s="35">
        <f t="shared" si="5"/>
        <v>5047.2648653426859</v>
      </c>
      <c r="G11" s="35">
        <f t="shared" si="6"/>
        <v>5907.0492107415666</v>
      </c>
      <c r="H11" s="35">
        <f t="shared" si="7"/>
        <v>4887.613432660025</v>
      </c>
      <c r="I11" s="35">
        <f t="shared" si="12"/>
        <v>-192.95078925843336</v>
      </c>
      <c r="J11" s="35">
        <f t="shared" si="8"/>
        <v>-159.65143268266092</v>
      </c>
      <c r="K11" s="43">
        <f t="shared" si="9"/>
        <v>5.9703949340470665E-2</v>
      </c>
      <c r="L11" s="35">
        <f t="shared" si="10"/>
        <v>6100</v>
      </c>
      <c r="M11" s="35">
        <f t="shared" si="1"/>
        <v>5047.2648653426859</v>
      </c>
      <c r="N11" s="52"/>
      <c r="O11" s="52"/>
      <c r="P11" s="35">
        <f t="shared" si="2"/>
        <v>-5047.2648653426859</v>
      </c>
      <c r="Q11" s="10"/>
    </row>
    <row r="12" spans="1:17">
      <c r="A12" s="200">
        <f t="shared" si="3"/>
        <v>5</v>
      </c>
      <c r="B12" s="32">
        <v>0.05</v>
      </c>
      <c r="C12" s="201">
        <f t="shared" si="0"/>
        <v>0.78352616646845896</v>
      </c>
      <c r="D12" s="202">
        <f t="shared" si="4"/>
        <v>5.6021489949330538E-2</v>
      </c>
      <c r="E12" s="35">
        <f t="shared" si="11"/>
        <v>6100</v>
      </c>
      <c r="F12" s="35">
        <f t="shared" si="5"/>
        <v>4779.5096154575995</v>
      </c>
      <c r="G12" s="35">
        <f t="shared" si="6"/>
        <v>5602.1489949330535</v>
      </c>
      <c r="H12" s="35">
        <f t="shared" si="7"/>
        <v>4389.4303259850258</v>
      </c>
      <c r="I12" s="35">
        <f t="shared" si="12"/>
        <v>-497.85100506694653</v>
      </c>
      <c r="J12" s="35">
        <f t="shared" si="8"/>
        <v>-390.07928947257398</v>
      </c>
      <c r="K12" s="43">
        <f t="shared" si="9"/>
        <v>5.9703949340470665E-2</v>
      </c>
      <c r="L12" s="35">
        <f t="shared" si="10"/>
        <v>6100</v>
      </c>
      <c r="M12" s="35">
        <f t="shared" si="1"/>
        <v>4779.5096154575995</v>
      </c>
      <c r="N12" s="52"/>
      <c r="O12" s="52"/>
      <c r="P12" s="35">
        <f t="shared" si="2"/>
        <v>-4779.5096154575995</v>
      </c>
      <c r="Q12" s="10"/>
    </row>
    <row r="13" spans="1:17">
      <c r="A13" s="200">
        <f t="shared" si="3"/>
        <v>6</v>
      </c>
      <c r="B13" s="32">
        <v>5.2499999999999998E-2</v>
      </c>
      <c r="C13" s="201">
        <f t="shared" si="0"/>
        <v>0.73564345082541871</v>
      </c>
      <c r="D13" s="202">
        <f t="shared" si="4"/>
        <v>6.5089569667634573E-2</v>
      </c>
      <c r="E13" s="35">
        <f t="shared" si="11"/>
        <v>6100</v>
      </c>
      <c r="F13" s="35">
        <f t="shared" si="5"/>
        <v>4487.4250500350545</v>
      </c>
      <c r="G13" s="35">
        <f t="shared" si="6"/>
        <v>6508.9569667634569</v>
      </c>
      <c r="H13" s="35">
        <f t="shared" si="7"/>
        <v>4788.2715643040192</v>
      </c>
      <c r="I13" s="35">
        <f t="shared" si="12"/>
        <v>408.95696676345688</v>
      </c>
      <c r="J13" s="35">
        <f t="shared" si="8"/>
        <v>300.84651426896551</v>
      </c>
      <c r="K13" s="43">
        <f t="shared" si="9"/>
        <v>5.9703949340470665E-2</v>
      </c>
      <c r="L13" s="35">
        <f t="shared" si="10"/>
        <v>6100</v>
      </c>
      <c r="M13" s="35">
        <f t="shared" si="1"/>
        <v>4487.4250500350545</v>
      </c>
      <c r="N13" s="52"/>
      <c r="O13" s="52"/>
      <c r="P13" s="35">
        <f t="shared" si="2"/>
        <v>-4487.4250500350545</v>
      </c>
      <c r="Q13" s="10"/>
    </row>
    <row r="14" spans="1:17">
      <c r="A14" s="200">
        <f t="shared" si="3"/>
        <v>7</v>
      </c>
      <c r="B14" s="32">
        <v>5.5E-2</v>
      </c>
      <c r="C14" s="201">
        <f t="shared" si="0"/>
        <v>0.68743680855412004</v>
      </c>
      <c r="D14" s="202">
        <f t="shared" si="4"/>
        <v>7.0125197940289707E-2</v>
      </c>
      <c r="E14" s="35">
        <f t="shared" si="11"/>
        <v>6100</v>
      </c>
      <c r="F14" s="35">
        <f t="shared" si="5"/>
        <v>4193.3645321801323</v>
      </c>
      <c r="G14" s="35">
        <f t="shared" si="6"/>
        <v>7012.5197940289709</v>
      </c>
      <c r="H14" s="35">
        <f t="shared" si="7"/>
        <v>4820.6642271298706</v>
      </c>
      <c r="I14" s="35">
        <f t="shared" si="12"/>
        <v>912.51979402897086</v>
      </c>
      <c r="J14" s="35">
        <f t="shared" si="8"/>
        <v>627.29969494973864</v>
      </c>
      <c r="K14" s="43">
        <f t="shared" si="9"/>
        <v>5.9703949340470665E-2</v>
      </c>
      <c r="L14" s="35">
        <f t="shared" si="10"/>
        <v>6100</v>
      </c>
      <c r="M14" s="35">
        <f t="shared" si="1"/>
        <v>4193.3645321801323</v>
      </c>
      <c r="N14" s="52"/>
      <c r="O14" s="52"/>
      <c r="P14" s="35">
        <f t="shared" si="2"/>
        <v>-4193.3645321801323</v>
      </c>
      <c r="Q14" s="10"/>
    </row>
    <row r="15" spans="1:17">
      <c r="A15" s="200">
        <f t="shared" si="3"/>
        <v>8</v>
      </c>
      <c r="B15" s="32">
        <v>5.7500000000000002E-2</v>
      </c>
      <c r="C15" s="201">
        <f t="shared" si="0"/>
        <v>0.63937697360653634</v>
      </c>
      <c r="D15" s="202">
        <f t="shared" si="4"/>
        <v>7.5166665256167109E-2</v>
      </c>
      <c r="E15" s="35">
        <f t="shared" si="11"/>
        <v>6100</v>
      </c>
      <c r="F15" s="35">
        <f t="shared" si="5"/>
        <v>3900.1995389998715</v>
      </c>
      <c r="G15" s="35">
        <f t="shared" si="6"/>
        <v>7516.6665256167107</v>
      </c>
      <c r="H15" s="35">
        <f t="shared" si="7"/>
        <v>4805.9834947583704</v>
      </c>
      <c r="I15" s="35">
        <f t="shared" si="12"/>
        <v>1416.6665256167107</v>
      </c>
      <c r="J15" s="35">
        <f t="shared" si="8"/>
        <v>905.78395575849913</v>
      </c>
      <c r="K15" s="43">
        <f t="shared" si="9"/>
        <v>5.9703949340470665E-2</v>
      </c>
      <c r="L15" s="35">
        <f t="shared" si="10"/>
        <v>6100</v>
      </c>
      <c r="M15" s="35">
        <f t="shared" si="1"/>
        <v>3900.1995389998715</v>
      </c>
      <c r="N15" s="52"/>
      <c r="O15" s="52"/>
      <c r="P15" s="35">
        <f t="shared" si="2"/>
        <v>-3900.1995389998715</v>
      </c>
      <c r="Q15" s="10"/>
    </row>
    <row r="16" spans="1:17">
      <c r="A16" s="200">
        <f t="shared" si="3"/>
        <v>9</v>
      </c>
      <c r="B16" s="32">
        <v>0.06</v>
      </c>
      <c r="C16" s="201">
        <f t="shared" si="0"/>
        <v>0.59189846353002495</v>
      </c>
      <c r="D16" s="202">
        <f t="shared" si="4"/>
        <v>8.0213943779063213E-2</v>
      </c>
      <c r="E16" s="35">
        <f t="shared" si="11"/>
        <v>6100</v>
      </c>
      <c r="F16" s="35">
        <f t="shared" si="5"/>
        <v>3610.5806275331524</v>
      </c>
      <c r="G16" s="35">
        <f t="shared" si="6"/>
        <v>8021.3943779063211</v>
      </c>
      <c r="H16" s="35">
        <f t="shared" si="7"/>
        <v>4747.851007651132</v>
      </c>
      <c r="I16" s="35">
        <f t="shared" si="12"/>
        <v>1921.3943779063211</v>
      </c>
      <c r="J16" s="35">
        <f t="shared" si="8"/>
        <v>1137.2703801179796</v>
      </c>
      <c r="K16" s="43">
        <f t="shared" si="9"/>
        <v>5.9703949340470665E-2</v>
      </c>
      <c r="L16" s="35">
        <f t="shared" si="10"/>
        <v>6100</v>
      </c>
      <c r="M16" s="35">
        <f t="shared" si="1"/>
        <v>3610.5806275331524</v>
      </c>
      <c r="N16" s="52"/>
      <c r="O16" s="52"/>
      <c r="P16" s="35">
        <f t="shared" si="2"/>
        <v>-3610.5806275331524</v>
      </c>
      <c r="Q16" s="10"/>
    </row>
    <row r="17" spans="1:17">
      <c r="A17" s="200">
        <f t="shared" si="3"/>
        <v>10</v>
      </c>
      <c r="B17" s="32">
        <v>6.2E-2</v>
      </c>
      <c r="C17" s="201">
        <f t="shared" si="0"/>
        <v>0.54796753954391031</v>
      </c>
      <c r="D17" s="202">
        <f t="shared" si="4"/>
        <v>8.0170668544855106E-2</v>
      </c>
      <c r="E17" s="35">
        <f t="shared" si="11"/>
        <v>6100</v>
      </c>
      <c r="F17" s="35">
        <f t="shared" si="5"/>
        <v>3342.6019912178531</v>
      </c>
      <c r="G17" s="35">
        <f t="shared" si="6"/>
        <v>8017.0668544855107</v>
      </c>
      <c r="H17" s="35">
        <f t="shared" si="7"/>
        <v>4393.0923986114622</v>
      </c>
      <c r="I17" s="35">
        <f t="shared" si="12"/>
        <v>1917.0668544855107</v>
      </c>
      <c r="J17" s="35">
        <f t="shared" si="8"/>
        <v>1050.4904073936088</v>
      </c>
      <c r="K17" s="43">
        <f t="shared" si="9"/>
        <v>5.9703949340470665E-2</v>
      </c>
      <c r="L17" s="35">
        <f t="shared" si="10"/>
        <v>106100</v>
      </c>
      <c r="M17" s="35">
        <f t="shared" si="1"/>
        <v>58139.355945608891</v>
      </c>
      <c r="N17" s="52"/>
      <c r="O17" s="52"/>
      <c r="P17" s="35">
        <f t="shared" si="2"/>
        <v>-58139.355945608891</v>
      </c>
      <c r="Q17" s="10"/>
    </row>
    <row r="18" spans="1:17">
      <c r="A18" s="200" t="str">
        <f t="shared" si="3"/>
        <v xml:space="preserve"> </v>
      </c>
      <c r="B18" s="32"/>
      <c r="C18" s="201" t="str">
        <f>IF(A18=" ","",1/(1+B18)^A18)</f>
        <v/>
      </c>
      <c r="D18" s="203" t="str">
        <f t="shared" si="4"/>
        <v xml:space="preserve"> </v>
      </c>
      <c r="E18" s="35" t="str">
        <f t="shared" si="11"/>
        <v xml:space="preserve"> </v>
      </c>
      <c r="F18" s="35" t="str">
        <f t="shared" si="5"/>
        <v xml:space="preserve"> </v>
      </c>
      <c r="G18" s="35" t="str">
        <f t="shared" si="6"/>
        <v xml:space="preserve"> </v>
      </c>
      <c r="H18" s="35" t="str">
        <f t="shared" si="7"/>
        <v xml:space="preserve"> </v>
      </c>
      <c r="I18" s="35" t="str">
        <f t="shared" si="12"/>
        <v xml:space="preserve"> </v>
      </c>
      <c r="J18" s="35" t="str">
        <f t="shared" si="8"/>
        <v xml:space="preserve"> </v>
      </c>
      <c r="K18" s="43">
        <f t="shared" si="9"/>
        <v>5.9703949340470665E-2</v>
      </c>
      <c r="L18" s="35" t="str">
        <f t="shared" si="10"/>
        <v xml:space="preserve"> </v>
      </c>
      <c r="M18" s="35" t="str">
        <f t="shared" si="1"/>
        <v/>
      </c>
      <c r="N18" s="52"/>
      <c r="O18" s="52"/>
      <c r="P18" s="35" t="str">
        <f t="shared" si="2"/>
        <v xml:space="preserve"> </v>
      </c>
      <c r="Q18" s="10"/>
    </row>
    <row r="19" spans="1:17">
      <c r="A19" s="200" t="str">
        <f t="shared" si="3"/>
        <v xml:space="preserve"> </v>
      </c>
      <c r="B19" s="32"/>
      <c r="C19" s="201" t="str">
        <f>IF(A19=" ","",1/(1+B19)^A19)</f>
        <v/>
      </c>
      <c r="D19" s="203" t="str">
        <f>IF(A19=" "," ",(1+B19)^ A19/(1+B18)^A18-1)</f>
        <v xml:space="preserve"> </v>
      </c>
      <c r="E19" s="35" t="str">
        <f t="shared" si="11"/>
        <v xml:space="preserve"> </v>
      </c>
      <c r="F19" s="35" t="str">
        <f t="shared" si="5"/>
        <v xml:space="preserve"> </v>
      </c>
      <c r="G19" s="35" t="str">
        <f t="shared" si="6"/>
        <v xml:space="preserve"> </v>
      </c>
      <c r="H19" s="35" t="str">
        <f t="shared" si="7"/>
        <v xml:space="preserve"> </v>
      </c>
      <c r="I19" s="35" t="str">
        <f t="shared" si="12"/>
        <v xml:space="preserve"> </v>
      </c>
      <c r="J19" s="35" t="str">
        <f t="shared" si="8"/>
        <v xml:space="preserve"> </v>
      </c>
      <c r="K19" s="43">
        <f t="shared" si="9"/>
        <v>5.9703949340470665E-2</v>
      </c>
      <c r="L19" s="35" t="str">
        <f t="shared" si="10"/>
        <v xml:space="preserve"> </v>
      </c>
      <c r="M19" s="35" t="str">
        <f t="shared" si="1"/>
        <v/>
      </c>
      <c r="N19" s="52"/>
      <c r="O19" s="52"/>
      <c r="P19" s="35" t="str">
        <f t="shared" si="2"/>
        <v xml:space="preserve"> </v>
      </c>
      <c r="Q19" s="10"/>
    </row>
    <row r="20" spans="1:17">
      <c r="A20" s="200" t="str">
        <f t="shared" si="3"/>
        <v xml:space="preserve"> </v>
      </c>
      <c r="B20" s="32"/>
      <c r="C20" s="201" t="str">
        <f>IF(A20=" ","",1/(1+B20)^A20)</f>
        <v/>
      </c>
      <c r="D20" s="203" t="str">
        <f>IF(A20=" "," ",(1+B20)^ A20/(1+B19)^A19-1)</f>
        <v xml:space="preserve"> </v>
      </c>
      <c r="E20" s="35" t="str">
        <f t="shared" si="11"/>
        <v xml:space="preserve"> </v>
      </c>
      <c r="F20" s="35" t="str">
        <f t="shared" si="5"/>
        <v xml:space="preserve"> </v>
      </c>
      <c r="G20" s="35" t="str">
        <f t="shared" si="6"/>
        <v xml:space="preserve"> </v>
      </c>
      <c r="H20" s="35" t="str">
        <f t="shared" si="7"/>
        <v xml:space="preserve"> </v>
      </c>
      <c r="I20" s="35" t="str">
        <f t="shared" si="12"/>
        <v xml:space="preserve"> </v>
      </c>
      <c r="J20" s="35" t="str">
        <f t="shared" si="8"/>
        <v xml:space="preserve"> </v>
      </c>
      <c r="K20" s="43">
        <f t="shared" si="9"/>
        <v>5.9703949340470665E-2</v>
      </c>
      <c r="L20" s="35" t="str">
        <f t="shared" si="10"/>
        <v xml:space="preserve"> </v>
      </c>
      <c r="M20" s="35" t="str">
        <f t="shared" si="1"/>
        <v/>
      </c>
      <c r="N20" s="52"/>
      <c r="O20" s="52"/>
      <c r="P20" s="35" t="str">
        <f t="shared" si="2"/>
        <v xml:space="preserve"> </v>
      </c>
      <c r="Q20" s="10"/>
    </row>
    <row r="21" spans="1:17">
      <c r="A21" s="200" t="str">
        <f t="shared" si="3"/>
        <v xml:space="preserve"> </v>
      </c>
      <c r="B21" s="32"/>
      <c r="C21" s="201" t="str">
        <f>IF(A21=" ","",1/(1+B21)^A21)</f>
        <v/>
      </c>
      <c r="D21" s="203" t="str">
        <f>IF(A21=" "," ",(1+B21)^ A21/(1+B20)^A20-1)</f>
        <v xml:space="preserve"> </v>
      </c>
      <c r="E21" s="35" t="str">
        <f t="shared" si="11"/>
        <v xml:space="preserve"> </v>
      </c>
      <c r="F21" s="35" t="str">
        <f t="shared" si="5"/>
        <v xml:space="preserve"> </v>
      </c>
      <c r="G21" s="35" t="str">
        <f t="shared" si="6"/>
        <v xml:space="preserve"> </v>
      </c>
      <c r="H21" s="35" t="str">
        <f t="shared" si="7"/>
        <v xml:space="preserve"> </v>
      </c>
      <c r="I21" s="35" t="str">
        <f t="shared" si="12"/>
        <v xml:space="preserve"> </v>
      </c>
      <c r="J21" s="35" t="str">
        <f t="shared" si="8"/>
        <v xml:space="preserve"> </v>
      </c>
      <c r="K21" s="43">
        <f t="shared" si="9"/>
        <v>5.9703949340470665E-2</v>
      </c>
      <c r="L21" s="35" t="str">
        <f t="shared" si="10"/>
        <v xml:space="preserve"> </v>
      </c>
      <c r="M21" s="35" t="str">
        <f t="shared" si="1"/>
        <v/>
      </c>
      <c r="N21" s="52"/>
      <c r="O21" s="52"/>
      <c r="P21" s="35" t="str">
        <f t="shared" si="2"/>
        <v xml:space="preserve"> </v>
      </c>
      <c r="Q21" s="10"/>
    </row>
    <row r="22" spans="1:17">
      <c r="A22" s="200" t="str">
        <f t="shared" si="3"/>
        <v xml:space="preserve"> </v>
      </c>
      <c r="B22" s="32"/>
      <c r="C22" s="201" t="str">
        <f>IF(A22=" ","",1/(1+B22)^A22)</f>
        <v/>
      </c>
      <c r="D22" s="203" t="str">
        <f>IF(A22=" "," ",(1+B22)^ A22/(1+B21)^A21-1)</f>
        <v xml:space="preserve"> </v>
      </c>
      <c r="E22" s="35" t="str">
        <f t="shared" si="11"/>
        <v xml:space="preserve"> </v>
      </c>
      <c r="F22" s="35" t="str">
        <f t="shared" si="5"/>
        <v xml:space="preserve"> </v>
      </c>
      <c r="G22" s="35" t="str">
        <f t="shared" si="6"/>
        <v xml:space="preserve"> </v>
      </c>
      <c r="H22" s="35" t="str">
        <f t="shared" si="7"/>
        <v xml:space="preserve"> </v>
      </c>
      <c r="I22" s="35" t="str">
        <f t="shared" si="12"/>
        <v xml:space="preserve"> </v>
      </c>
      <c r="J22" s="35" t="str">
        <f t="shared" si="8"/>
        <v xml:space="preserve"> </v>
      </c>
      <c r="K22" s="43">
        <f t="shared" si="9"/>
        <v>5.9703949340470665E-2</v>
      </c>
      <c r="L22" s="35" t="str">
        <f t="shared" si="10"/>
        <v xml:space="preserve"> </v>
      </c>
      <c r="M22" s="35" t="str">
        <f t="shared" si="1"/>
        <v/>
      </c>
      <c r="N22" s="52"/>
      <c r="O22" s="52"/>
      <c r="P22" s="35" t="str">
        <f t="shared" si="2"/>
        <v xml:space="preserve"> </v>
      </c>
      <c r="Q22" s="10"/>
    </row>
    <row r="23" spans="1:17">
      <c r="A23" s="59" t="s">
        <v>41</v>
      </c>
      <c r="B23" s="60"/>
      <c r="C23" s="60">
        <f>SUM(C8:C21)</f>
        <v>7.5712321454365981</v>
      </c>
      <c r="D23" s="60"/>
      <c r="E23" s="62" t="s">
        <v>42</v>
      </c>
      <c r="F23" s="35">
        <f>SUM(F8:F22)</f>
        <v>46184.516087163247</v>
      </c>
      <c r="G23" s="63"/>
      <c r="H23" s="35">
        <f>SUM(H8:H22)</f>
        <v>45203.246045608968</v>
      </c>
      <c r="I23" s="64"/>
      <c r="J23" s="65">
        <f>SUM(J8:J22)</f>
        <v>-981.27004155428108</v>
      </c>
      <c r="K23" s="20"/>
      <c r="L23" s="67"/>
      <c r="M23" s="68">
        <f>SUM(M8:M22)</f>
        <v>100981.27004155429</v>
      </c>
      <c r="N23" s="67"/>
      <c r="O23" s="67"/>
      <c r="P23" s="69">
        <f>SUM(P8:P22)</f>
        <v>-981.27004155428585</v>
      </c>
      <c r="Q23" s="10"/>
    </row>
    <row r="24" spans="1:17">
      <c r="A24" s="10"/>
      <c r="B24" s="10"/>
      <c r="C24" s="10"/>
      <c r="D24" s="10"/>
      <c r="E24" s="10"/>
      <c r="F24" s="10"/>
      <c r="G24" s="10"/>
      <c r="H24" s="10"/>
      <c r="I24" s="10"/>
      <c r="J24" s="10"/>
      <c r="K24" s="10"/>
      <c r="L24" s="10"/>
      <c r="M24" s="10"/>
      <c r="N24" s="10"/>
      <c r="O24" s="10"/>
      <c r="P24" s="10"/>
      <c r="Q24" s="10"/>
    </row>
    <row r="29" spans="1:17">
      <c r="H29" s="491"/>
      <c r="I29" s="491"/>
      <c r="J29" s="491"/>
      <c r="K29" s="491"/>
      <c r="L29" s="491"/>
    </row>
    <row r="30" spans="1:17">
      <c r="H30" s="491"/>
      <c r="I30" s="491"/>
      <c r="J30" s="491"/>
      <c r="K30" s="491"/>
      <c r="L30" s="491"/>
    </row>
    <row r="31" spans="1:17">
      <c r="H31" s="491"/>
      <c r="I31" s="492"/>
      <c r="J31" s="491"/>
      <c r="K31" s="491"/>
      <c r="L31" s="491"/>
    </row>
    <row r="32" spans="1:17">
      <c r="H32" s="491"/>
      <c r="I32" s="492"/>
      <c r="J32" s="491"/>
      <c r="K32" s="491"/>
      <c r="L32" s="491"/>
    </row>
    <row r="33" spans="8:12">
      <c r="H33" s="491"/>
      <c r="I33" s="492"/>
      <c r="J33" s="491"/>
      <c r="K33" s="491"/>
      <c r="L33" s="491"/>
    </row>
    <row r="34" spans="8:12">
      <c r="H34" s="491"/>
      <c r="I34" s="492"/>
      <c r="J34" s="491"/>
      <c r="K34" s="491"/>
      <c r="L34" s="491"/>
    </row>
    <row r="35" spans="8:12">
      <c r="H35" s="491"/>
      <c r="I35" s="492"/>
      <c r="J35" s="491"/>
      <c r="K35" s="491"/>
      <c r="L35" s="491"/>
    </row>
    <row r="36" spans="8:12">
      <c r="H36" s="491"/>
      <c r="I36" s="492"/>
      <c r="J36" s="491"/>
      <c r="K36" s="491"/>
      <c r="L36" s="491"/>
    </row>
    <row r="37" spans="8:12">
      <c r="H37" s="491"/>
      <c r="I37" s="492"/>
      <c r="J37" s="491"/>
      <c r="K37" s="491"/>
      <c r="L37" s="491"/>
    </row>
    <row r="38" spans="8:12">
      <c r="H38" s="491"/>
      <c r="I38" s="492"/>
      <c r="J38" s="491"/>
      <c r="K38" s="491"/>
      <c r="L38" s="491"/>
    </row>
    <row r="39" spans="8:12">
      <c r="H39" s="491"/>
      <c r="I39" s="492"/>
      <c r="J39" s="491"/>
      <c r="K39" s="491"/>
      <c r="L39" s="491"/>
    </row>
    <row r="40" spans="8:12">
      <c r="H40" s="491"/>
      <c r="I40" s="492"/>
      <c r="J40" s="491"/>
      <c r="K40" s="491"/>
      <c r="L40" s="491"/>
    </row>
    <row r="41" spans="8:12">
      <c r="H41" s="491"/>
      <c r="I41" s="491"/>
      <c r="J41" s="491"/>
      <c r="K41" s="491"/>
      <c r="L41" s="491"/>
    </row>
    <row r="42" spans="8:12">
      <c r="H42" s="491"/>
      <c r="I42" s="493"/>
      <c r="J42" s="491"/>
      <c r="K42" s="491"/>
      <c r="L42" s="491"/>
    </row>
    <row r="43" spans="8:12">
      <c r="H43" s="491"/>
      <c r="I43" s="491"/>
      <c r="J43" s="491"/>
      <c r="K43" s="491"/>
      <c r="L43" s="491"/>
    </row>
    <row r="44" spans="8:12">
      <c r="H44" s="491"/>
      <c r="I44" s="491"/>
      <c r="J44" s="491"/>
      <c r="K44" s="491"/>
      <c r="L44" s="491"/>
    </row>
    <row r="45" spans="8:12">
      <c r="H45" s="491"/>
      <c r="I45" s="494"/>
      <c r="J45" s="491"/>
      <c r="K45" s="491"/>
      <c r="L45" s="491"/>
    </row>
    <row r="46" spans="8:12">
      <c r="H46" s="491"/>
      <c r="I46" s="491"/>
      <c r="J46" s="491"/>
      <c r="K46" s="491"/>
      <c r="L46" s="491"/>
    </row>
  </sheetData>
  <phoneticPr fontId="15" type="noConversion"/>
  <printOptions gridLines="1" gridLinesSet="0"/>
  <pageMargins left="0.78740157499999996" right="0.78740157499999996" top="0.984251969" bottom="0.984251969" header="0.51181102300000003" footer="0.51181102300000003"/>
  <pageSetup paperSize="9" orientation="portrait" horizontalDpi="300" verticalDpi="300" r:id="rId1"/>
  <headerFooter alignWithMargins="0">
    <oddHeader>&amp;F</oddHeader>
    <oddFooter>Seite &amp;P</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C2" sqref="C2"/>
    </sheetView>
  </sheetViews>
  <sheetFormatPr baseColWidth="10" defaultRowHeight="12.75"/>
  <cols>
    <col min="2" max="2" width="6" customWidth="1"/>
    <col min="3" max="3" width="14.42578125" customWidth="1"/>
  </cols>
  <sheetData>
    <row r="1" spans="1:4">
      <c r="A1" s="71" t="s">
        <v>169</v>
      </c>
      <c r="B1" s="70"/>
      <c r="C1" s="70"/>
      <c r="D1" s="70"/>
    </row>
    <row r="2" spans="1:4">
      <c r="A2" s="70"/>
      <c r="B2" s="72" t="s">
        <v>170</v>
      </c>
      <c r="C2" s="2">
        <v>10000000</v>
      </c>
      <c r="D2" s="70"/>
    </row>
    <row r="3" spans="1:4">
      <c r="A3" s="70"/>
      <c r="B3" s="72" t="s">
        <v>171</v>
      </c>
      <c r="C3" s="8">
        <v>0.05</v>
      </c>
      <c r="D3" s="70"/>
    </row>
    <row r="4" spans="1:4">
      <c r="A4" s="70"/>
      <c r="B4" s="72" t="s">
        <v>172</v>
      </c>
      <c r="C4" s="349">
        <v>38049</v>
      </c>
      <c r="D4" s="70"/>
    </row>
    <row r="5" spans="1:4">
      <c r="A5" s="70"/>
      <c r="B5" s="72" t="s">
        <v>81</v>
      </c>
      <c r="C5" s="192">
        <v>38121</v>
      </c>
      <c r="D5" s="70"/>
    </row>
    <row r="6" spans="1:4">
      <c r="A6" s="70"/>
      <c r="B6" s="72" t="s">
        <v>82</v>
      </c>
      <c r="C6" s="74">
        <v>100.5</v>
      </c>
      <c r="D6" s="70"/>
    </row>
    <row r="7" spans="1:4">
      <c r="A7" s="70"/>
      <c r="B7" s="70"/>
      <c r="C7" s="70"/>
      <c r="D7" s="70"/>
    </row>
    <row r="8" spans="1:4">
      <c r="A8" s="70"/>
      <c r="B8" s="72" t="s">
        <v>173</v>
      </c>
      <c r="C8" s="8">
        <v>0.03</v>
      </c>
      <c r="D8" s="70"/>
    </row>
    <row r="9" spans="1:4">
      <c r="A9" s="70"/>
      <c r="B9" s="70"/>
      <c r="C9" s="70"/>
      <c r="D9" s="70"/>
    </row>
    <row r="10" spans="1:4">
      <c r="A10" s="70" t="s">
        <v>84</v>
      </c>
      <c r="B10" s="70"/>
      <c r="C10" s="1">
        <f>C2*C6/100</f>
        <v>10050000</v>
      </c>
      <c r="D10" s="70"/>
    </row>
    <row r="11" spans="1:4">
      <c r="A11" s="70" t="s">
        <v>85</v>
      </c>
      <c r="B11" s="70"/>
      <c r="C11" s="1">
        <f>ROUND(A12/365*C3*C2,2)</f>
        <v>98630.14</v>
      </c>
      <c r="D11" s="70" t="s">
        <v>174</v>
      </c>
    </row>
    <row r="12" spans="1:4">
      <c r="A12" s="70">
        <f>C5-C4</f>
        <v>72</v>
      </c>
      <c r="B12" s="70" t="s">
        <v>175</v>
      </c>
      <c r="C12" s="169"/>
      <c r="D12" s="70"/>
    </row>
    <row r="13" spans="1:4">
      <c r="A13" s="71" t="s">
        <v>176</v>
      </c>
      <c r="B13" s="70"/>
      <c r="C13" s="1">
        <f>C10+C11</f>
        <v>10148630.140000001</v>
      </c>
      <c r="D13" s="70"/>
    </row>
    <row r="14" spans="1:4">
      <c r="A14" s="70"/>
      <c r="B14" s="70"/>
      <c r="C14" s="1"/>
      <c r="D14" s="70"/>
    </row>
    <row r="15" spans="1:4">
      <c r="A15" s="70"/>
      <c r="B15" s="70"/>
      <c r="C15" s="70"/>
      <c r="D15" s="70"/>
    </row>
    <row r="16" spans="1:4">
      <c r="A16" s="70" t="s">
        <v>176</v>
      </c>
      <c r="B16" s="70"/>
      <c r="C16" s="1">
        <f>C13</f>
        <v>10148630.140000001</v>
      </c>
      <c r="D16" s="70"/>
    </row>
    <row r="17" spans="1:4">
      <c r="A17" s="70" t="s">
        <v>177</v>
      </c>
      <c r="B17" s="70"/>
      <c r="C17" s="1">
        <f>C16*C8*A18/360</f>
        <v>11840.068496666667</v>
      </c>
      <c r="D17" s="70" t="s">
        <v>178</v>
      </c>
    </row>
    <row r="18" spans="1:4">
      <c r="A18" s="74">
        <v>14</v>
      </c>
      <c r="B18" s="70" t="s">
        <v>175</v>
      </c>
      <c r="C18" s="169"/>
      <c r="D18" s="70"/>
    </row>
    <row r="19" spans="1:4">
      <c r="A19" s="71" t="s">
        <v>179</v>
      </c>
      <c r="B19" s="70"/>
      <c r="C19" s="1">
        <f>C16+C17</f>
        <v>10160470.208496667</v>
      </c>
      <c r="D19" s="70"/>
    </row>
    <row r="20" spans="1:4">
      <c r="A20" s="70"/>
      <c r="B20" s="70"/>
      <c r="C20" s="70"/>
      <c r="D20" s="70"/>
    </row>
    <row r="21" spans="1:4">
      <c r="A21" s="70"/>
      <c r="B21" s="70"/>
      <c r="C21" s="70"/>
      <c r="D21" s="70"/>
    </row>
  </sheetData>
  <phoneticPr fontId="15" type="noConversion"/>
  <pageMargins left="0.78740157499999996" right="0.78740157499999996" top="0.984251969" bottom="0.984251969" header="0.4921259845" footer="0.4921259845"/>
  <pageSetup paperSize="9" orientation="portrait" horizontalDpi="300" verticalDpi="300" r:id="rId1"/>
  <headerFooter alignWithMargins="0">
    <oddHeader>&amp;A</oddHeader>
    <oddFooter>Seite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B4" sqref="B4"/>
    </sheetView>
  </sheetViews>
  <sheetFormatPr baseColWidth="10" defaultRowHeight="12.75"/>
  <cols>
    <col min="1" max="1" width="23" customWidth="1"/>
  </cols>
  <sheetData>
    <row r="1" spans="1:6">
      <c r="A1" s="3" t="s">
        <v>0</v>
      </c>
      <c r="B1" s="4"/>
      <c r="C1" s="4"/>
      <c r="D1" s="4"/>
      <c r="E1" s="4"/>
      <c r="F1" s="4"/>
    </row>
    <row r="2" spans="1:6">
      <c r="A2" s="3"/>
      <c r="B2" s="4"/>
      <c r="C2" s="4"/>
      <c r="D2" s="4"/>
      <c r="E2" s="4"/>
      <c r="F2" s="4"/>
    </row>
    <row r="3" spans="1:6">
      <c r="A3" s="3" t="s">
        <v>546</v>
      </c>
      <c r="B3" s="4"/>
      <c r="C3" s="4"/>
      <c r="D3" s="4"/>
      <c r="E3" s="4"/>
      <c r="F3" s="4"/>
    </row>
    <row r="4" spans="1:6">
      <c r="A4" s="5" t="s">
        <v>1</v>
      </c>
      <c r="B4" s="2">
        <v>10000</v>
      </c>
      <c r="C4" s="4"/>
      <c r="D4" s="4"/>
      <c r="E4" s="4"/>
      <c r="F4" s="4"/>
    </row>
    <row r="5" spans="1:6">
      <c r="A5" s="5"/>
      <c r="B5" s="4"/>
      <c r="C5" s="4"/>
      <c r="D5" s="4"/>
      <c r="E5" s="4"/>
      <c r="F5" s="4"/>
    </row>
    <row r="6" spans="1:6">
      <c r="A6" s="5" t="s">
        <v>2</v>
      </c>
      <c r="B6" s="6">
        <v>0.05</v>
      </c>
      <c r="C6" s="4"/>
      <c r="D6" s="4"/>
      <c r="E6" s="4"/>
      <c r="F6" s="4"/>
    </row>
    <row r="7" spans="1:6">
      <c r="A7" s="5" t="s">
        <v>3</v>
      </c>
      <c r="B7" s="7">
        <v>4</v>
      </c>
      <c r="C7" s="4"/>
      <c r="D7" s="4"/>
      <c r="E7" s="4"/>
      <c r="F7" s="4"/>
    </row>
    <row r="8" spans="1:6">
      <c r="A8" s="5" t="s">
        <v>4</v>
      </c>
      <c r="B8" s="8">
        <v>3.5000000000000003E-2</v>
      </c>
      <c r="C8" s="4" t="s">
        <v>5</v>
      </c>
      <c r="D8" s="4"/>
      <c r="E8" s="4"/>
      <c r="F8" s="4"/>
    </row>
    <row r="9" spans="1:6">
      <c r="A9" s="5"/>
      <c r="B9" s="4"/>
      <c r="C9" s="4" t="s">
        <v>6</v>
      </c>
      <c r="D9" s="4"/>
      <c r="E9" s="4"/>
      <c r="F9" s="4"/>
    </row>
    <row r="10" spans="1:6">
      <c r="A10" s="5" t="s">
        <v>7</v>
      </c>
      <c r="B10" s="4"/>
      <c r="C10" s="4"/>
      <c r="D10" s="4"/>
      <c r="E10" s="4"/>
      <c r="F10" s="4"/>
    </row>
    <row r="11" spans="1:6">
      <c r="A11" s="5" t="s">
        <v>8</v>
      </c>
      <c r="B11" s="7">
        <f>1/12</f>
        <v>8.3333333333333329E-2</v>
      </c>
      <c r="C11" s="4" t="s">
        <v>9</v>
      </c>
      <c r="D11" s="4"/>
      <c r="E11" s="4"/>
      <c r="F11" s="4"/>
    </row>
    <row r="12" spans="1:6">
      <c r="A12" s="5"/>
      <c r="B12" s="4"/>
      <c r="C12" s="4"/>
      <c r="D12" s="4"/>
      <c r="E12" s="4"/>
      <c r="F12" s="4"/>
    </row>
    <row r="13" spans="1:6">
      <c r="A13" s="5" t="s">
        <v>10</v>
      </c>
      <c r="B13" s="1">
        <f>B4*(1+B6/B7)/(1+B11*B8)</f>
        <v>10095.554632322393</v>
      </c>
      <c r="C13" s="4"/>
      <c r="D13" s="4"/>
      <c r="E13" s="4"/>
      <c r="F13" s="4"/>
    </row>
    <row r="14" spans="1:6">
      <c r="A14" s="4"/>
      <c r="B14" s="4"/>
      <c r="C14" s="4"/>
      <c r="D14" s="4"/>
      <c r="E14" s="4"/>
      <c r="F14" s="4"/>
    </row>
    <row r="15" spans="1:6">
      <c r="A15" s="490" t="s">
        <v>12</v>
      </c>
      <c r="B15" s="4"/>
      <c r="C15" s="4"/>
      <c r="D15" s="4"/>
      <c r="E15" s="4"/>
      <c r="F15" s="4"/>
    </row>
    <row r="16" spans="1:6">
      <c r="A16" s="5" t="s">
        <v>1</v>
      </c>
      <c r="B16" s="2">
        <v>100000</v>
      </c>
      <c r="C16" s="4"/>
      <c r="D16" s="4"/>
      <c r="E16" s="4"/>
      <c r="F16" s="4"/>
    </row>
    <row r="17" spans="1:6">
      <c r="A17" s="5" t="s">
        <v>11</v>
      </c>
      <c r="B17" s="6">
        <v>0.05</v>
      </c>
      <c r="C17" s="4"/>
      <c r="D17" s="4"/>
      <c r="E17" s="4"/>
      <c r="F17" s="4"/>
    </row>
    <row r="18" spans="1:6">
      <c r="A18" s="5" t="s">
        <v>13</v>
      </c>
      <c r="B18" s="7">
        <v>5</v>
      </c>
      <c r="C18" s="4" t="s">
        <v>14</v>
      </c>
      <c r="D18" s="4"/>
      <c r="E18" s="4"/>
      <c r="F18" s="4"/>
    </row>
    <row r="19" spans="1:6">
      <c r="A19" s="5" t="s">
        <v>15</v>
      </c>
      <c r="B19" s="8">
        <v>2.5000000000000001E-3</v>
      </c>
      <c r="C19" s="4"/>
      <c r="D19" s="4"/>
      <c r="E19" s="4"/>
      <c r="F19" s="4"/>
    </row>
    <row r="20" spans="1:6">
      <c r="A20" s="4"/>
      <c r="B20" s="4"/>
      <c r="C20" s="4"/>
      <c r="D20" s="4"/>
      <c r="E20" s="4"/>
      <c r="F20" s="4"/>
    </row>
    <row r="21" spans="1:6">
      <c r="A21" s="5" t="s">
        <v>16</v>
      </c>
      <c r="B21" s="252">
        <f>B16+B16*(B19*365/360)*((1-(1+B17)^(-B18))/B17-1/(1+365/365*B17)+1/(1+365/360*B17))</f>
        <v>101097.24252080345</v>
      </c>
      <c r="C21" s="4"/>
      <c r="D21" s="4"/>
      <c r="E21" s="4"/>
      <c r="F21" s="4"/>
    </row>
    <row r="22" spans="1:6">
      <c r="A22" s="4"/>
      <c r="B22" s="4"/>
      <c r="C22" s="4"/>
      <c r="D22" s="4"/>
      <c r="E22" s="4"/>
      <c r="F22" s="4"/>
    </row>
    <row r="24" spans="1:6">
      <c r="A24" s="5" t="s">
        <v>16</v>
      </c>
      <c r="B24" s="1">
        <f>B16*(1+B19*(1-(1+B17)^(-B18))/B17)</f>
        <v>101082.36916765771</v>
      </c>
      <c r="C24" s="4" t="s">
        <v>545</v>
      </c>
      <c r="D24" s="4"/>
      <c r="E24" s="4"/>
      <c r="F24" s="4"/>
    </row>
  </sheetData>
  <phoneticPr fontId="0" type="noConversion"/>
  <pageMargins left="0.78740157499999996" right="0.78740157499999996" top="0.984251969" bottom="0.984251969" header="0.4921259845" footer="0.4921259845"/>
  <pageSetup paperSize="9" orientation="portrait" horizontalDpi="300" verticalDpi="300" r:id="rId1"/>
  <headerFooter alignWithMargins="0">
    <oddHeader>&amp;A</oddHeader>
    <oddFooter>Seite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activeCell="B3" sqref="B3"/>
    </sheetView>
  </sheetViews>
  <sheetFormatPr baseColWidth="10" defaultRowHeight="12.75"/>
  <cols>
    <col min="1" max="1" width="18.42578125" customWidth="1"/>
  </cols>
  <sheetData>
    <row r="1" spans="1:4">
      <c r="A1" s="70" t="s">
        <v>228</v>
      </c>
      <c r="B1" s="70"/>
      <c r="C1" s="70" t="s">
        <v>13</v>
      </c>
      <c r="D1" s="70"/>
    </row>
    <row r="2" spans="1:4">
      <c r="A2" s="70"/>
      <c r="B2" s="72" t="s">
        <v>256</v>
      </c>
      <c r="C2" s="72" t="s">
        <v>229</v>
      </c>
      <c r="D2" s="70"/>
    </row>
    <row r="3" spans="1:4">
      <c r="A3" s="72"/>
      <c r="B3" s="74">
        <v>0</v>
      </c>
      <c r="C3" s="74">
        <v>0.5</v>
      </c>
      <c r="D3" s="70"/>
    </row>
    <row r="4" spans="1:4">
      <c r="A4" s="70" t="s">
        <v>283</v>
      </c>
      <c r="B4" s="74">
        <v>40</v>
      </c>
      <c r="C4" s="70"/>
      <c r="D4" s="70"/>
    </row>
    <row r="5" spans="1:4">
      <c r="A5" s="70" t="s">
        <v>231</v>
      </c>
      <c r="B5" s="6">
        <v>0.04</v>
      </c>
      <c r="C5" s="70"/>
      <c r="D5" s="70"/>
    </row>
    <row r="6" spans="1:4">
      <c r="A6" s="70" t="s">
        <v>232</v>
      </c>
      <c r="B6" s="6">
        <v>0</v>
      </c>
      <c r="C6" s="70"/>
      <c r="D6" s="70"/>
    </row>
    <row r="7" spans="1:4">
      <c r="A7" s="70"/>
      <c r="B7" s="70"/>
      <c r="C7" s="70"/>
      <c r="D7" s="70"/>
    </row>
    <row r="8" spans="1:4">
      <c r="A8" s="70" t="s">
        <v>257</v>
      </c>
      <c r="B8" s="252">
        <f>B4*EXP((C3-B3)*B5)*EXP(-B6*(C3-B3))</f>
        <v>40.808053601070228</v>
      </c>
      <c r="C8" s="70" t="s">
        <v>233</v>
      </c>
      <c r="D8" s="70"/>
    </row>
    <row r="9" spans="1:4">
      <c r="A9" s="70" t="s">
        <v>258</v>
      </c>
      <c r="B9" s="1">
        <f>B8</f>
        <v>40.808053601070228</v>
      </c>
      <c r="C9" s="70"/>
      <c r="D9" s="70"/>
    </row>
    <row r="10" spans="1:4">
      <c r="A10" s="70" t="s">
        <v>363</v>
      </c>
      <c r="B10" s="155">
        <f>EXP(-B5*(C3-B3))*(B8-B9)</f>
        <v>0</v>
      </c>
      <c r="C10" s="70"/>
      <c r="D10" s="70"/>
    </row>
    <row r="11" spans="1:4">
      <c r="A11" s="70"/>
      <c r="B11" s="70"/>
      <c r="C11" s="70"/>
      <c r="D11" s="70"/>
    </row>
    <row r="12" spans="1:4">
      <c r="A12" s="70"/>
      <c r="B12" s="70"/>
      <c r="C12" s="70"/>
      <c r="D12" s="70"/>
    </row>
    <row r="13" spans="1:4">
      <c r="A13" s="70" t="s">
        <v>378</v>
      </c>
      <c r="B13" s="70"/>
      <c r="C13" s="70" t="s">
        <v>13</v>
      </c>
      <c r="D13" s="70"/>
    </row>
    <row r="14" spans="1:4">
      <c r="A14" s="70"/>
      <c r="B14" s="72" t="s">
        <v>256</v>
      </c>
      <c r="C14" s="72" t="s">
        <v>229</v>
      </c>
      <c r="D14" s="70"/>
    </row>
    <row r="15" spans="1:4">
      <c r="A15" s="72"/>
      <c r="B15" s="74">
        <f>1/12</f>
        <v>8.3333333333333329E-2</v>
      </c>
      <c r="C15" s="74">
        <v>0.5</v>
      </c>
      <c r="D15" s="70"/>
    </row>
    <row r="16" spans="1:4">
      <c r="A16" s="70" t="s">
        <v>283</v>
      </c>
      <c r="B16" s="74">
        <v>45</v>
      </c>
      <c r="C16" s="70"/>
      <c r="D16" s="70"/>
    </row>
    <row r="17" spans="1:4">
      <c r="A17" s="70" t="s">
        <v>231</v>
      </c>
      <c r="B17" s="6">
        <v>0.03</v>
      </c>
      <c r="C17" s="70"/>
      <c r="D17" s="70"/>
    </row>
    <row r="18" spans="1:4">
      <c r="A18" s="70" t="s">
        <v>232</v>
      </c>
      <c r="B18" s="6">
        <v>0</v>
      </c>
      <c r="C18" s="70"/>
      <c r="D18" s="70"/>
    </row>
    <row r="19" spans="1:4">
      <c r="A19" s="70"/>
      <c r="B19" s="70"/>
      <c r="C19" s="70"/>
      <c r="D19" s="70"/>
    </row>
    <row r="20" spans="1:4">
      <c r="A20" s="70" t="s">
        <v>257</v>
      </c>
      <c r="B20" s="1">
        <f>B16*EXP((C15-B15)*B17)*EXP(-B18*(C15-B15))</f>
        <v>45.566030319328547</v>
      </c>
      <c r="C20" s="70" t="s">
        <v>233</v>
      </c>
      <c r="D20" s="70"/>
    </row>
    <row r="21" spans="1:4">
      <c r="A21" s="70" t="s">
        <v>235</v>
      </c>
      <c r="B21" s="1">
        <f>B9</f>
        <v>40.808053601070228</v>
      </c>
      <c r="C21" s="70"/>
      <c r="D21" s="70"/>
    </row>
    <row r="22" spans="1:4">
      <c r="A22" s="70" t="s">
        <v>364</v>
      </c>
      <c r="B22" s="253">
        <f>EXP(-B17*(C15-B15))*(B20-B21)</f>
        <v>4.6988721822186479</v>
      </c>
      <c r="C22" s="70"/>
      <c r="D22" s="70"/>
    </row>
    <row r="23" spans="1:4">
      <c r="A23" s="70" t="s">
        <v>365</v>
      </c>
      <c r="B23" s="253">
        <f>B20-B21</f>
        <v>4.7579767182583197</v>
      </c>
      <c r="C23" s="70"/>
      <c r="D23" s="70"/>
    </row>
    <row r="24" spans="1:4">
      <c r="A24" s="70"/>
      <c r="B24" s="70"/>
      <c r="C24" s="70"/>
      <c r="D24" s="70"/>
    </row>
  </sheetData>
  <phoneticPr fontId="0" type="noConversion"/>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election activeCell="B4" sqref="B4"/>
    </sheetView>
  </sheetViews>
  <sheetFormatPr baseColWidth="10" defaultRowHeight="12.75"/>
  <cols>
    <col min="1" max="1" width="21.28515625" customWidth="1"/>
    <col min="3" max="3" width="7.42578125" customWidth="1"/>
    <col min="4" max="4" width="18.28515625" customWidth="1"/>
  </cols>
  <sheetData>
    <row r="1" spans="1:6">
      <c r="A1" s="70"/>
      <c r="B1" s="70"/>
      <c r="C1" s="72" t="s">
        <v>13</v>
      </c>
      <c r="D1" s="70"/>
      <c r="E1" s="70"/>
      <c r="F1" s="70"/>
    </row>
    <row r="2" spans="1:6">
      <c r="A2" s="70"/>
      <c r="B2" s="72" t="s">
        <v>256</v>
      </c>
      <c r="C2" s="72" t="s">
        <v>229</v>
      </c>
      <c r="D2" s="70"/>
      <c r="E2" s="70"/>
      <c r="F2" s="70"/>
    </row>
    <row r="3" spans="1:6">
      <c r="A3" s="72"/>
      <c r="B3" s="70">
        <v>0</v>
      </c>
      <c r="C3" s="70">
        <v>1</v>
      </c>
      <c r="D3" s="70"/>
      <c r="E3" s="70"/>
      <c r="F3" s="70"/>
    </row>
    <row r="4" spans="1:6">
      <c r="A4" s="70" t="s">
        <v>230</v>
      </c>
      <c r="B4" s="74">
        <v>400</v>
      </c>
      <c r="C4" s="70"/>
      <c r="D4" s="70"/>
      <c r="E4" s="70"/>
      <c r="F4" s="70"/>
    </row>
    <row r="5" spans="1:6">
      <c r="A5" s="70" t="s">
        <v>231</v>
      </c>
      <c r="B5" s="6">
        <v>0.04</v>
      </c>
      <c r="C5" s="70"/>
      <c r="D5" s="70"/>
      <c r="E5" s="70"/>
      <c r="F5" s="70"/>
    </row>
    <row r="6" spans="1:6">
      <c r="A6" s="70" t="s">
        <v>232</v>
      </c>
      <c r="B6" s="254">
        <v>0</v>
      </c>
      <c r="C6" s="70"/>
      <c r="D6" s="70"/>
      <c r="E6" s="70"/>
      <c r="F6" s="70"/>
    </row>
    <row r="7" spans="1:6">
      <c r="A7" s="70" t="s">
        <v>236</v>
      </c>
      <c r="B7" s="255">
        <v>3</v>
      </c>
      <c r="C7" s="70" t="s">
        <v>285</v>
      </c>
      <c r="D7" s="70"/>
      <c r="E7" s="70"/>
      <c r="F7" s="70"/>
    </row>
    <row r="8" spans="1:6">
      <c r="A8" s="70"/>
      <c r="B8" s="70"/>
      <c r="C8" s="70"/>
      <c r="D8" s="70"/>
      <c r="E8" s="70"/>
      <c r="F8" s="70"/>
    </row>
    <row r="9" spans="1:6">
      <c r="A9" s="70" t="s">
        <v>257</v>
      </c>
      <c r="B9" s="252">
        <f>B4*(1+B5)^(C3-B3)*(1+B6)^(-C3+B3)+B7</f>
        <v>419</v>
      </c>
      <c r="C9" s="70"/>
      <c r="D9" s="70"/>
      <c r="E9" s="70"/>
      <c r="F9" s="70"/>
    </row>
    <row r="10" spans="1:6">
      <c r="A10" s="70" t="s">
        <v>258</v>
      </c>
      <c r="B10" s="2">
        <v>440</v>
      </c>
      <c r="C10" s="70"/>
      <c r="D10" s="70"/>
      <c r="E10" s="70"/>
      <c r="F10" s="70"/>
    </row>
    <row r="11" spans="1:6">
      <c r="A11" s="70"/>
      <c r="B11" s="70"/>
      <c r="C11" s="70"/>
      <c r="D11" s="70"/>
      <c r="E11" s="70"/>
      <c r="F11" s="70"/>
    </row>
    <row r="12" spans="1:6">
      <c r="A12" s="84" t="s">
        <v>384</v>
      </c>
      <c r="B12" s="1"/>
      <c r="C12" s="70"/>
      <c r="D12" s="84" t="s">
        <v>385</v>
      </c>
      <c r="E12" s="70"/>
      <c r="F12" s="70"/>
    </row>
    <row r="13" spans="1:6">
      <c r="A13" s="169" t="s">
        <v>259</v>
      </c>
      <c r="B13" s="1"/>
      <c r="C13" s="70"/>
      <c r="D13" s="169" t="str">
        <f>A13</f>
        <v>Zeit t0</v>
      </c>
      <c r="E13" s="70"/>
      <c r="F13" s="70"/>
    </row>
    <row r="14" spans="1:6">
      <c r="A14" s="70" t="s">
        <v>237</v>
      </c>
      <c r="B14" s="1">
        <f>-B4</f>
        <v>-400</v>
      </c>
      <c r="C14" s="70"/>
      <c r="D14" s="70" t="s">
        <v>379</v>
      </c>
      <c r="E14" s="155">
        <f>B4</f>
        <v>400</v>
      </c>
      <c r="F14" s="70"/>
    </row>
    <row r="15" spans="1:6">
      <c r="A15" s="70" t="s">
        <v>238</v>
      </c>
      <c r="B15" s="1">
        <f>-B14</f>
        <v>400</v>
      </c>
      <c r="C15" s="70"/>
      <c r="D15" s="70" t="s">
        <v>380</v>
      </c>
      <c r="E15" s="155">
        <f>-E14</f>
        <v>-400</v>
      </c>
      <c r="F15" s="70"/>
    </row>
    <row r="16" spans="1:6">
      <c r="A16" s="169" t="s">
        <v>239</v>
      </c>
      <c r="B16" s="256">
        <v>0</v>
      </c>
      <c r="C16" s="70"/>
      <c r="D16" s="70" t="s">
        <v>381</v>
      </c>
      <c r="E16" s="167">
        <v>0</v>
      </c>
      <c r="F16" s="70"/>
    </row>
    <row r="17" spans="1:6">
      <c r="A17" s="70" t="s">
        <v>240</v>
      </c>
      <c r="B17" s="257">
        <f>SUM(B14:B16)</f>
        <v>0</v>
      </c>
      <c r="C17" s="72"/>
      <c r="D17" s="70"/>
      <c r="E17" s="155">
        <f>SUM(E14:E16)</f>
        <v>0</v>
      </c>
      <c r="F17" s="70"/>
    </row>
    <row r="18" spans="1:6">
      <c r="A18" s="72"/>
      <c r="B18" s="1"/>
      <c r="C18" s="70"/>
      <c r="D18" s="70"/>
      <c r="E18" s="70"/>
      <c r="F18" s="70"/>
    </row>
    <row r="19" spans="1:6">
      <c r="A19" s="169" t="s">
        <v>241</v>
      </c>
      <c r="B19" s="1"/>
      <c r="C19" s="70"/>
      <c r="D19" s="169" t="str">
        <f>A19</f>
        <v>Zeit T</v>
      </c>
      <c r="E19" s="70"/>
      <c r="F19" s="70"/>
    </row>
    <row r="20" spans="1:6">
      <c r="A20" s="70" t="s">
        <v>242</v>
      </c>
      <c r="B20" s="1">
        <f>B10</f>
        <v>440</v>
      </c>
      <c r="C20" s="70"/>
      <c r="D20" s="70" t="s">
        <v>382</v>
      </c>
      <c r="E20" s="1">
        <f>-B10</f>
        <v>-440</v>
      </c>
      <c r="F20" s="70"/>
    </row>
    <row r="21" spans="1:6">
      <c r="A21" s="70" t="s">
        <v>284</v>
      </c>
      <c r="B21" s="1"/>
      <c r="C21" s="70"/>
      <c r="D21" s="70" t="s">
        <v>383</v>
      </c>
      <c r="E21" s="70"/>
      <c r="F21" s="70"/>
    </row>
    <row r="22" spans="1:6">
      <c r="A22" s="70" t="s">
        <v>238</v>
      </c>
      <c r="B22" s="1">
        <f>B14*(1+B5)^(C3-B3)</f>
        <v>-416</v>
      </c>
      <c r="C22" s="70"/>
      <c r="D22" s="70" t="s">
        <v>380</v>
      </c>
      <c r="E22" s="155">
        <f>-E15*(1+B5)</f>
        <v>416</v>
      </c>
      <c r="F22" s="70"/>
    </row>
    <row r="23" spans="1:6">
      <c r="A23" s="169" t="s">
        <v>236</v>
      </c>
      <c r="B23" s="256">
        <f>-B7</f>
        <v>-3</v>
      </c>
      <c r="C23" s="70"/>
      <c r="D23" s="169" t="s">
        <v>387</v>
      </c>
      <c r="E23" s="167">
        <f>B7</f>
        <v>3</v>
      </c>
      <c r="F23" s="70"/>
    </row>
    <row r="24" spans="1:6">
      <c r="A24" s="70" t="s">
        <v>243</v>
      </c>
      <c r="B24" s="1">
        <f>SUM(B20:B23)</f>
        <v>21</v>
      </c>
      <c r="C24" s="70"/>
      <c r="D24" s="70" t="s">
        <v>243</v>
      </c>
      <c r="E24" s="1">
        <f>E20+E22+E23</f>
        <v>-21</v>
      </c>
      <c r="F24" s="70"/>
    </row>
    <row r="25" spans="1:6">
      <c r="A25" s="253"/>
      <c r="B25" s="351" t="str">
        <f>IF(B24&gt;0,"Strategie mit Arbitrgegewinn","Kein Gewinn")</f>
        <v>Strategie mit Arbitrgegewinn</v>
      </c>
      <c r="C25" s="70"/>
      <c r="D25" s="70"/>
      <c r="E25" s="351" t="str">
        <f>IF(E24&gt;0,"Strategie mit Arbitrgegewinn","Kein Gewinn")</f>
        <v>Kein Gewinn</v>
      </c>
      <c r="F25" s="70"/>
    </row>
    <row r="26" spans="1:6">
      <c r="A26" s="84"/>
      <c r="B26" s="253"/>
      <c r="C26" s="70"/>
      <c r="D26" s="70"/>
      <c r="E26" s="70"/>
      <c r="F26" s="70"/>
    </row>
    <row r="27" spans="1:6">
      <c r="A27" s="84"/>
      <c r="B27" s="70"/>
      <c r="C27" s="70"/>
      <c r="D27" s="70"/>
      <c r="E27" s="70"/>
      <c r="F27" s="70"/>
    </row>
    <row r="28" spans="1:6">
      <c r="A28" s="70"/>
      <c r="B28" s="70"/>
      <c r="C28" s="70"/>
      <c r="D28" s="70"/>
      <c r="E28" s="70"/>
      <c r="F28" s="70"/>
    </row>
    <row r="29" spans="1:6">
      <c r="A29" s="70"/>
      <c r="B29" s="70"/>
      <c r="C29" s="70"/>
      <c r="D29" s="70"/>
      <c r="E29" s="70"/>
      <c r="F29" s="70"/>
    </row>
    <row r="30" spans="1:6">
      <c r="A30" s="70"/>
      <c r="B30" s="70"/>
      <c r="C30" s="70"/>
      <c r="D30" s="70"/>
      <c r="E30" s="70"/>
      <c r="F30" s="70"/>
    </row>
  </sheetData>
  <phoneticPr fontId="2" type="noConversion"/>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F36"/>
  <sheetViews>
    <sheetView workbookViewId="0">
      <selection activeCell="B23" sqref="B23"/>
    </sheetView>
  </sheetViews>
  <sheetFormatPr baseColWidth="10" defaultRowHeight="12.75"/>
  <cols>
    <col min="1" max="1" width="17.42578125" customWidth="1"/>
    <col min="4" max="4" width="15.5703125" customWidth="1"/>
    <col min="5" max="5" width="15.42578125" customWidth="1"/>
  </cols>
  <sheetData>
    <row r="1" spans="1:6">
      <c r="A1" s="71" t="s">
        <v>49</v>
      </c>
      <c r="B1" s="70"/>
      <c r="C1" s="70"/>
      <c r="D1" s="70"/>
      <c r="E1" s="70"/>
      <c r="F1" s="70"/>
    </row>
    <row r="2" spans="1:6">
      <c r="A2" s="70" t="s">
        <v>50</v>
      </c>
      <c r="B2" s="74">
        <v>1.1429</v>
      </c>
      <c r="C2" s="70" t="s">
        <v>51</v>
      </c>
      <c r="D2" s="70"/>
      <c r="E2" s="70"/>
      <c r="F2" s="70"/>
    </row>
    <row r="3" spans="1:6">
      <c r="A3" s="70"/>
      <c r="B3" s="70"/>
      <c r="C3" s="70"/>
      <c r="D3" s="70"/>
      <c r="E3" s="70"/>
      <c r="F3" s="70"/>
    </row>
    <row r="4" spans="1:6" ht="33" customHeight="1">
      <c r="A4" s="75" t="s">
        <v>19</v>
      </c>
      <c r="B4" s="75" t="s">
        <v>52</v>
      </c>
      <c r="C4" s="75" t="s">
        <v>53</v>
      </c>
      <c r="D4" s="75" t="s">
        <v>54</v>
      </c>
      <c r="E4" s="75" t="s">
        <v>55</v>
      </c>
      <c r="F4" s="70"/>
    </row>
    <row r="5" spans="1:6">
      <c r="A5" s="76">
        <v>8.3333333333333329E-2</v>
      </c>
      <c r="B5" s="77">
        <v>0.04</v>
      </c>
      <c r="C5" s="78">
        <v>0.05</v>
      </c>
      <c r="D5" s="79">
        <f t="shared" ref="D5:D18" si="0">((1+C5)/(1+B5))^A5*$B$2</f>
        <v>1.1438117739645564</v>
      </c>
      <c r="E5" s="79">
        <f t="shared" ref="E5:E18" si="1">(1+A5*C5)/(1+A5*B5)*$B$2</f>
        <v>1.1438492524916941</v>
      </c>
      <c r="F5" s="70"/>
    </row>
    <row r="6" spans="1:6">
      <c r="A6" s="76">
        <v>0.16666666666666666</v>
      </c>
      <c r="B6" s="77">
        <v>0.04</v>
      </c>
      <c r="C6" s="77">
        <v>0.06</v>
      </c>
      <c r="D6" s="79">
        <f t="shared" si="0"/>
        <v>1.1465341292532694</v>
      </c>
      <c r="E6" s="79">
        <f t="shared" si="1"/>
        <v>1.1466844370860929</v>
      </c>
      <c r="F6" s="70"/>
    </row>
    <row r="7" spans="1:6">
      <c r="A7" s="76">
        <v>0.25</v>
      </c>
      <c r="B7" s="77">
        <v>0.04</v>
      </c>
      <c r="C7" s="77">
        <v>0.06</v>
      </c>
      <c r="D7" s="79">
        <f t="shared" si="0"/>
        <v>1.1483555249362096</v>
      </c>
      <c r="E7" s="79">
        <f t="shared" si="1"/>
        <v>1.1485579207920793</v>
      </c>
      <c r="F7" s="70"/>
    </row>
    <row r="8" spans="1:6">
      <c r="A8" s="76">
        <v>0.5</v>
      </c>
      <c r="B8" s="77">
        <v>0.04</v>
      </c>
      <c r="C8" s="77">
        <v>0.06</v>
      </c>
      <c r="D8" s="79">
        <f t="shared" si="0"/>
        <v>1.153837091304154</v>
      </c>
      <c r="E8" s="82">
        <f t="shared" si="1"/>
        <v>1.1541049019607843</v>
      </c>
      <c r="F8" s="70"/>
    </row>
    <row r="9" spans="1:6">
      <c r="A9" s="80">
        <v>1</v>
      </c>
      <c r="B9" s="77">
        <v>0.05</v>
      </c>
      <c r="C9" s="77">
        <v>7.0000000000000007E-2</v>
      </c>
      <c r="D9" s="81">
        <f t="shared" si="0"/>
        <v>1.1646695238095237</v>
      </c>
      <c r="E9" s="79">
        <f t="shared" si="1"/>
        <v>1.1646695238095237</v>
      </c>
      <c r="F9" s="70"/>
    </row>
    <row r="10" spans="1:6">
      <c r="A10" s="80">
        <v>2</v>
      </c>
      <c r="B10" s="77">
        <v>5.5E-2</v>
      </c>
      <c r="C10" s="77">
        <v>7.2499999999999995E-2</v>
      </c>
      <c r="D10" s="79">
        <f t="shared" si="0"/>
        <v>1.1811305838817641</v>
      </c>
      <c r="E10" s="79">
        <f t="shared" si="1"/>
        <v>1.1789373873873874</v>
      </c>
      <c r="F10" s="70"/>
    </row>
    <row r="11" spans="1:6">
      <c r="A11" s="80">
        <v>3</v>
      </c>
      <c r="B11" s="77">
        <v>0.06</v>
      </c>
      <c r="C11" s="77">
        <v>7.4999999999999997E-2</v>
      </c>
      <c r="D11" s="79">
        <f t="shared" si="0"/>
        <v>1.192109172704229</v>
      </c>
      <c r="E11" s="79">
        <f t="shared" si="1"/>
        <v>1.1864851694915255</v>
      </c>
      <c r="F11" s="70"/>
    </row>
    <row r="12" spans="1:6">
      <c r="A12" s="80">
        <v>4</v>
      </c>
      <c r="B12" s="77">
        <v>6.5000000000000002E-2</v>
      </c>
      <c r="C12" s="77">
        <v>7.7499999999999999E-2</v>
      </c>
      <c r="D12" s="79">
        <f t="shared" si="0"/>
        <v>1.1975093608413865</v>
      </c>
      <c r="E12" s="79">
        <f t="shared" si="1"/>
        <v>1.1882531746031748</v>
      </c>
      <c r="F12" s="70"/>
    </row>
    <row r="13" spans="1:6">
      <c r="A13" s="80">
        <v>5</v>
      </c>
      <c r="B13" s="77">
        <v>7.0000000000000007E-2</v>
      </c>
      <c r="C13" s="77">
        <f t="shared" ref="C13:C18" si="2">B13+1%</f>
        <v>0.08</v>
      </c>
      <c r="D13" s="79">
        <f t="shared" si="0"/>
        <v>1.1973141683241879</v>
      </c>
      <c r="E13" s="79">
        <f t="shared" si="1"/>
        <v>1.1852296296296296</v>
      </c>
      <c r="F13" s="70"/>
    </row>
    <row r="14" spans="1:6">
      <c r="A14" s="80">
        <v>6</v>
      </c>
      <c r="B14" s="77">
        <v>7.0000000000000007E-2</v>
      </c>
      <c r="C14" s="77">
        <f t="shared" si="2"/>
        <v>0.08</v>
      </c>
      <c r="D14" s="79">
        <f t="shared" si="0"/>
        <v>1.2085040203646009</v>
      </c>
      <c r="E14" s="79">
        <f t="shared" si="1"/>
        <v>1.1911915492957745</v>
      </c>
      <c r="F14" s="70"/>
    </row>
    <row r="15" spans="1:6">
      <c r="A15" s="80">
        <v>7</v>
      </c>
      <c r="B15" s="77">
        <v>7.0000000000000007E-2</v>
      </c>
      <c r="C15" s="77">
        <f t="shared" si="2"/>
        <v>0.08</v>
      </c>
      <c r="D15" s="79">
        <f t="shared" si="0"/>
        <v>1.2197984504614667</v>
      </c>
      <c r="E15" s="79">
        <f t="shared" si="1"/>
        <v>1.1965932885906041</v>
      </c>
      <c r="F15" s="70"/>
    </row>
    <row r="16" spans="1:6">
      <c r="A16" s="80">
        <v>8</v>
      </c>
      <c r="B16" s="77">
        <v>7.0000000000000007E-2</v>
      </c>
      <c r="C16" s="77">
        <f t="shared" si="2"/>
        <v>0.08</v>
      </c>
      <c r="D16" s="79">
        <f t="shared" si="0"/>
        <v>1.2311984359797983</v>
      </c>
      <c r="E16" s="79">
        <f t="shared" si="1"/>
        <v>1.2015102564102564</v>
      </c>
      <c r="F16" s="70"/>
    </row>
    <row r="17" spans="1:6">
      <c r="A17" s="80">
        <v>9</v>
      </c>
      <c r="B17" s="77">
        <v>7.0000000000000007E-2</v>
      </c>
      <c r="C17" s="77">
        <f t="shared" si="2"/>
        <v>0.08</v>
      </c>
      <c r="D17" s="79">
        <f t="shared" si="0"/>
        <v>1.2427049634188621</v>
      </c>
      <c r="E17" s="79">
        <f t="shared" si="1"/>
        <v>1.20600490797546</v>
      </c>
      <c r="F17" s="70"/>
    </row>
    <row r="18" spans="1:6">
      <c r="A18" s="80">
        <v>10</v>
      </c>
      <c r="B18" s="77">
        <v>7.0000000000000007E-2</v>
      </c>
      <c r="C18" s="77">
        <f t="shared" si="2"/>
        <v>0.08</v>
      </c>
      <c r="D18" s="79">
        <f t="shared" si="0"/>
        <v>1.254319028497543</v>
      </c>
      <c r="E18" s="79">
        <f t="shared" si="1"/>
        <v>1.2101294117647059</v>
      </c>
      <c r="F18" s="70"/>
    </row>
    <row r="19" spans="1:6">
      <c r="A19" s="70"/>
      <c r="B19" s="70"/>
      <c r="C19" s="70"/>
      <c r="D19" s="70"/>
      <c r="E19" s="70"/>
      <c r="F19" s="70"/>
    </row>
    <row r="20" spans="1:6">
      <c r="A20" s="70"/>
      <c r="B20" s="70"/>
      <c r="C20" s="70"/>
      <c r="D20" s="70"/>
      <c r="E20" s="70"/>
      <c r="F20" s="70"/>
    </row>
    <row r="21" spans="1:6">
      <c r="A21" s="84" t="s">
        <v>244</v>
      </c>
      <c r="B21" s="70"/>
      <c r="C21" s="70"/>
      <c r="D21" s="70"/>
      <c r="E21" s="70"/>
      <c r="F21" s="70"/>
    </row>
    <row r="22" spans="1:6">
      <c r="A22" s="70"/>
      <c r="B22" s="70"/>
      <c r="C22" s="70"/>
      <c r="D22" s="70"/>
      <c r="E22" s="70"/>
      <c r="F22" s="70"/>
    </row>
    <row r="23" spans="1:6">
      <c r="A23" s="140" t="s">
        <v>245</v>
      </c>
      <c r="B23" s="258">
        <v>40854</v>
      </c>
      <c r="C23" s="70"/>
      <c r="D23" s="70"/>
      <c r="E23" s="70"/>
      <c r="F23" s="70"/>
    </row>
    <row r="24" spans="1:6">
      <c r="A24" s="140" t="s">
        <v>69</v>
      </c>
      <c r="B24" s="130">
        <f>IF(WEEKDAY(B23+2)=7,B23+4,IF(B23+2=1,B23+3,B23+2))</f>
        <v>40856</v>
      </c>
      <c r="C24" s="70"/>
      <c r="D24" s="70"/>
      <c r="E24" s="70"/>
      <c r="F24" s="70"/>
    </row>
    <row r="25" spans="1:6">
      <c r="A25" s="140" t="s">
        <v>246</v>
      </c>
      <c r="B25" s="265">
        <f>(1.1399+1.1459)/2</f>
        <v>1.1429</v>
      </c>
      <c r="C25" s="70" t="s">
        <v>386</v>
      </c>
      <c r="D25" s="70"/>
      <c r="E25" s="70"/>
      <c r="F25" s="70"/>
    </row>
    <row r="26" spans="1:6">
      <c r="A26" s="165"/>
      <c r="B26" s="259"/>
      <c r="C26" s="70"/>
      <c r="D26" s="70"/>
      <c r="E26" s="70"/>
      <c r="F26" s="70"/>
    </row>
    <row r="27" spans="1:6">
      <c r="A27" s="140" t="s">
        <v>247</v>
      </c>
      <c r="B27" s="260">
        <v>3</v>
      </c>
      <c r="C27" s="70" t="s">
        <v>248</v>
      </c>
      <c r="D27" s="70" t="s">
        <v>249</v>
      </c>
      <c r="E27" s="70"/>
      <c r="F27" s="70"/>
    </row>
    <row r="28" spans="1:6">
      <c r="A28" s="140" t="s">
        <v>250</v>
      </c>
      <c r="B28" s="261">
        <f>EDATE(B24,B27)+IF(WEEKDAY(EDATE(B24,B27))=7,2,IF(WEEKDAY(EDATE(B24,B27))=1,1,0))</f>
        <v>40948</v>
      </c>
      <c r="C28" s="70"/>
      <c r="D28" s="70"/>
      <c r="E28" s="70"/>
      <c r="F28" s="70"/>
    </row>
    <row r="29" spans="1:6">
      <c r="A29" s="140" t="s">
        <v>251</v>
      </c>
      <c r="B29" s="262">
        <f>(1.09%+1.17%)/2</f>
        <v>1.1299999999999999E-2</v>
      </c>
      <c r="C29" s="70"/>
      <c r="D29" s="70"/>
      <c r="E29" s="70"/>
      <c r="F29" s="70"/>
    </row>
    <row r="30" spans="1:6">
      <c r="A30" s="140" t="s">
        <v>252</v>
      </c>
      <c r="B30" s="263">
        <f>(2.12%+2.18%)/2</f>
        <v>2.1499999999999998E-2</v>
      </c>
      <c r="C30" s="70"/>
      <c r="D30" s="70"/>
      <c r="E30" s="70"/>
      <c r="F30" s="70"/>
    </row>
    <row r="31" spans="1:6">
      <c r="A31" s="140" t="s">
        <v>253</v>
      </c>
      <c r="B31" s="264">
        <f>1/(1+B29*($B$28-$B$24)/360)</f>
        <v>0.99712053747012785</v>
      </c>
      <c r="C31" s="70"/>
      <c r="D31" s="70"/>
      <c r="E31" s="70"/>
      <c r="F31" s="70"/>
    </row>
    <row r="32" spans="1:6">
      <c r="A32" s="140" t="s">
        <v>254</v>
      </c>
      <c r="B32" s="264">
        <f>1/(1+B30*($B$28-$B$24)/360)</f>
        <v>0.99453557951035698</v>
      </c>
      <c r="C32" s="70"/>
      <c r="D32" s="70"/>
      <c r="E32" s="70"/>
      <c r="F32" s="70"/>
    </row>
    <row r="33" spans="1:6">
      <c r="A33" s="140" t="s">
        <v>255</v>
      </c>
      <c r="B33" s="231">
        <f>B25*B32/B31</f>
        <v>1.1399371200459698</v>
      </c>
      <c r="C33" s="70"/>
      <c r="D33" s="70"/>
      <c r="E33" s="70"/>
      <c r="F33" s="70"/>
    </row>
    <row r="34" spans="1:6">
      <c r="A34" s="70"/>
      <c r="B34" s="70"/>
      <c r="C34" s="70"/>
      <c r="D34" s="70"/>
      <c r="E34" s="70"/>
      <c r="F34" s="70"/>
    </row>
    <row r="35" spans="1:6">
      <c r="A35" s="70"/>
      <c r="B35" s="70"/>
      <c r="C35" s="70"/>
      <c r="D35" s="70"/>
      <c r="E35" s="70"/>
      <c r="F35" s="70"/>
    </row>
    <row r="36" spans="1:6">
      <c r="A36" s="70"/>
      <c r="B36" s="70"/>
      <c r="C36" s="70"/>
      <c r="D36" s="70"/>
      <c r="E36" s="70"/>
      <c r="F36" s="70"/>
    </row>
  </sheetData>
  <phoneticPr fontId="0" type="noConversion"/>
  <pageMargins left="0.78740157499999996" right="0.78740157499999996" top="0.984251969" bottom="0.984251969" header="0.4921259845" footer="0.4921259845"/>
  <headerFooter alignWithMargins="0">
    <oddHeader>&amp;A</oddHeader>
    <oddFooter>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B3" sqref="B3"/>
    </sheetView>
  </sheetViews>
  <sheetFormatPr baseColWidth="10" defaultRowHeight="12.75"/>
  <cols>
    <col min="1" max="1" width="29.140625" customWidth="1"/>
    <col min="2" max="2" width="17.140625" customWidth="1"/>
  </cols>
  <sheetData>
    <row r="1" spans="1:6">
      <c r="A1" s="3" t="s">
        <v>534</v>
      </c>
      <c r="B1" s="4"/>
      <c r="C1" s="4"/>
      <c r="D1" s="4"/>
      <c r="E1" s="4"/>
      <c r="F1" s="4"/>
    </row>
    <row r="2" spans="1:6">
      <c r="A2" s="513" t="s">
        <v>576</v>
      </c>
      <c r="B2" s="2">
        <v>1000</v>
      </c>
      <c r="C2" s="4"/>
      <c r="D2" s="4"/>
      <c r="E2" s="4"/>
      <c r="F2" s="4"/>
    </row>
    <row r="3" spans="1:6">
      <c r="A3" s="513" t="s">
        <v>13</v>
      </c>
      <c r="B3" s="287">
        <v>3</v>
      </c>
      <c r="C3" s="514" t="s">
        <v>575</v>
      </c>
      <c r="D3" s="4"/>
      <c r="E3" s="4"/>
      <c r="F3" s="4"/>
    </row>
    <row r="4" spans="1:6">
      <c r="A4" s="513" t="s">
        <v>585</v>
      </c>
      <c r="B4" s="157">
        <v>1.7999999999999999E-2</v>
      </c>
      <c r="C4" s="4"/>
      <c r="D4" s="4"/>
      <c r="E4" s="4"/>
      <c r="F4" s="4"/>
    </row>
    <row r="5" spans="1:6">
      <c r="A5" s="5" t="s">
        <v>3</v>
      </c>
      <c r="B5" s="514">
        <v>2</v>
      </c>
      <c r="C5" s="514"/>
      <c r="D5" s="4"/>
      <c r="E5" s="4"/>
      <c r="F5" s="4"/>
    </row>
    <row r="6" spans="1:6">
      <c r="A6" s="5"/>
      <c r="B6" s="5"/>
      <c r="C6" s="4"/>
      <c r="D6" s="4"/>
      <c r="E6" s="4"/>
      <c r="F6" s="4"/>
    </row>
    <row r="7" spans="1:6">
      <c r="A7" s="513" t="s">
        <v>571</v>
      </c>
      <c r="B7" s="7">
        <v>1</v>
      </c>
      <c r="C7" s="514" t="s">
        <v>570</v>
      </c>
      <c r="D7" s="514" t="s">
        <v>580</v>
      </c>
      <c r="E7" s="4"/>
      <c r="F7" s="4"/>
    </row>
    <row r="8" spans="1:6">
      <c r="A8" s="513" t="s">
        <v>565</v>
      </c>
      <c r="B8" s="157">
        <v>1.4E-2</v>
      </c>
      <c r="C8" s="4" t="s">
        <v>5</v>
      </c>
      <c r="D8" s="4"/>
      <c r="E8" s="4"/>
      <c r="F8" s="4"/>
    </row>
    <row r="9" spans="1:6">
      <c r="A9" s="5"/>
      <c r="B9" s="4"/>
      <c r="C9" s="4" t="s">
        <v>6</v>
      </c>
      <c r="D9" s="4"/>
      <c r="E9" s="4"/>
      <c r="F9" s="4"/>
    </row>
    <row r="10" spans="1:6">
      <c r="A10" s="5" t="s">
        <v>7</v>
      </c>
      <c r="B10" s="4"/>
      <c r="C10" s="4"/>
      <c r="D10" s="4"/>
      <c r="E10" s="4"/>
      <c r="F10" s="4"/>
    </row>
    <row r="11" spans="1:6">
      <c r="A11" s="5" t="s">
        <v>8</v>
      </c>
      <c r="B11" s="4">
        <f>1/B5-B7/12</f>
        <v>0.41666666666666669</v>
      </c>
      <c r="C11" s="4" t="s">
        <v>9</v>
      </c>
      <c r="D11" s="4"/>
      <c r="E11" s="4"/>
      <c r="F11" s="4"/>
    </row>
    <row r="12" spans="1:6">
      <c r="A12" s="5"/>
      <c r="B12" s="4"/>
      <c r="C12" s="4"/>
      <c r="D12" s="4"/>
      <c r="E12" s="4"/>
      <c r="F12" s="4"/>
    </row>
    <row r="13" spans="1:6">
      <c r="A13" s="516" t="s">
        <v>577</v>
      </c>
      <c r="B13" s="512">
        <f>B2*(1+B4/B5)/(1+B11*B8)</f>
        <v>1003.1483015741507</v>
      </c>
      <c r="C13" s="514">
        <f>B7</f>
        <v>1</v>
      </c>
      <c r="D13" s="514" t="str">
        <f>C7</f>
        <v xml:space="preserve">Monat(e)  </v>
      </c>
      <c r="E13" s="514" t="s">
        <v>578</v>
      </c>
      <c r="F13" s="4"/>
    </row>
    <row r="14" spans="1:6">
      <c r="A14" s="4"/>
      <c r="B14" s="4"/>
      <c r="C14" s="4"/>
      <c r="D14" s="4"/>
      <c r="E14" s="4"/>
      <c r="F14" s="4"/>
    </row>
    <row r="15" spans="1:6">
      <c r="A15" s="4"/>
      <c r="B15" s="4"/>
      <c r="C15" s="4"/>
      <c r="D15" s="4"/>
      <c r="E15" s="4"/>
      <c r="F15" s="4"/>
    </row>
    <row r="16" spans="1:6">
      <c r="A16" s="513" t="s">
        <v>566</v>
      </c>
      <c r="B16" s="8">
        <v>2E-3</v>
      </c>
      <c r="C16" s="514" t="s">
        <v>569</v>
      </c>
      <c r="D16" s="4"/>
      <c r="E16" s="4"/>
      <c r="F16" s="4"/>
    </row>
    <row r="17" spans="1:6">
      <c r="A17" s="513" t="s">
        <v>567</v>
      </c>
      <c r="B17" s="8">
        <v>1.6E-2</v>
      </c>
      <c r="C17" s="514" t="s">
        <v>568</v>
      </c>
      <c r="D17" s="4"/>
      <c r="E17" s="4">
        <f>B11</f>
        <v>0.41666666666666669</v>
      </c>
      <c r="F17" s="514" t="s">
        <v>59</v>
      </c>
    </row>
    <row r="18" spans="1:6">
      <c r="A18" s="4"/>
      <c r="B18" s="4"/>
      <c r="C18" s="4"/>
      <c r="D18" s="4"/>
      <c r="E18" s="4"/>
      <c r="F18" s="4"/>
    </row>
    <row r="19" spans="1:6">
      <c r="A19" s="513" t="s">
        <v>573</v>
      </c>
      <c r="B19" s="155">
        <f>B2*B16/B5*((1+B17*(B11+1/B5))^(-1))</f>
        <v>0.98554533508541398</v>
      </c>
      <c r="C19" s="4"/>
      <c r="D19" s="513" t="s">
        <v>572</v>
      </c>
      <c r="E19" s="4">
        <v>1</v>
      </c>
      <c r="F19" s="514" t="s">
        <v>214</v>
      </c>
    </row>
    <row r="20" spans="1:6">
      <c r="A20" s="513"/>
      <c r="B20" s="155">
        <f>B2*B16/B5*((1+B17*(B11+1/B5))^(-1)+(1+B17)^(-B11-1)+(1+B17)^(-B11-1.5))</f>
        <v>2.933343274153581</v>
      </c>
      <c r="C20" s="4"/>
      <c r="D20" s="513" t="s">
        <v>572</v>
      </c>
      <c r="E20" s="4">
        <v>2</v>
      </c>
      <c r="F20" s="514" t="s">
        <v>59</v>
      </c>
    </row>
    <row r="21" spans="1:6">
      <c r="A21" s="4"/>
      <c r="B21" s="155">
        <f>B2*B16/B5*((1+B17*(B11+1/B5))^(-1)+(1+B17)^(-B11-1)+(1+B17)^(-B11-1.5)+(1+B17)^(-B11-2)+(1+B17)^(-B11-2.5))</f>
        <v>4.8504672299293361</v>
      </c>
      <c r="C21" s="4"/>
      <c r="D21" s="513" t="s">
        <v>572</v>
      </c>
      <c r="E21" s="4">
        <v>3</v>
      </c>
      <c r="F21" s="514" t="s">
        <v>59</v>
      </c>
    </row>
    <row r="22" spans="1:6">
      <c r="A22" s="4"/>
      <c r="B22" s="155">
        <f>B21+B2*B16/B5*((1+B17)^(-B11-3)+(1+B17)^(-B11-3.5))</f>
        <v>6.7374002572676774</v>
      </c>
      <c r="C22" s="4"/>
      <c r="D22" s="513" t="s">
        <v>572</v>
      </c>
      <c r="E22" s="4">
        <v>4</v>
      </c>
      <c r="F22" s="514" t="s">
        <v>59</v>
      </c>
    </row>
    <row r="23" spans="1:6">
      <c r="A23" s="4"/>
      <c r="B23" s="155">
        <f>B22+B2*B16/B5*((1+B17)^(-B11-4)+(1+B17)^(-B11-4.5))</f>
        <v>8.5946178038605332</v>
      </c>
      <c r="C23" s="4"/>
      <c r="D23" s="513" t="s">
        <v>572</v>
      </c>
      <c r="E23" s="4">
        <v>5</v>
      </c>
      <c r="F23" s="514" t="s">
        <v>59</v>
      </c>
    </row>
    <row r="24" spans="1:6">
      <c r="A24" s="4"/>
      <c r="B24" s="4"/>
      <c r="C24" s="514"/>
      <c r="D24" s="4"/>
      <c r="E24" s="4"/>
      <c r="F24" s="4"/>
    </row>
    <row r="25" spans="1:6">
      <c r="A25" s="516" t="s">
        <v>579</v>
      </c>
      <c r="B25" s="512">
        <f>B13+LOOKUP(B3,E19:E23,B19:B23)</f>
        <v>1007.99876880408</v>
      </c>
      <c r="C25" s="4"/>
      <c r="D25" s="513" t="s">
        <v>572</v>
      </c>
      <c r="E25" s="515">
        <f>B3</f>
        <v>3</v>
      </c>
      <c r="F25" s="514" t="s">
        <v>574</v>
      </c>
    </row>
    <row r="26" spans="1:6">
      <c r="A26" s="4"/>
      <c r="B26" s="1"/>
      <c r="C26" s="514"/>
      <c r="D26" s="4"/>
      <c r="E26" s="4"/>
      <c r="F26" s="4"/>
    </row>
    <row r="27" spans="1:6">
      <c r="A27" s="4"/>
      <c r="B27" s="4"/>
      <c r="C27" s="4"/>
      <c r="D27" s="4"/>
      <c r="E27" s="4"/>
      <c r="F27" s="4"/>
    </row>
    <row r="28" spans="1:6">
      <c r="A28" s="4"/>
      <c r="B28" s="4"/>
      <c r="C28" s="4"/>
      <c r="D28" s="4"/>
      <c r="E28" s="4"/>
      <c r="F28" s="4"/>
    </row>
  </sheetData>
  <phoneticPr fontId="0" type="noConversion"/>
  <pageMargins left="0.78740157499999996" right="0.78740157499999996" top="0.984251969" bottom="0.984251969" header="0.4921259845" footer="0.4921259845"/>
  <headerFooter alignWithMargins="0">
    <oddHeader>&amp;A</oddHeader>
    <oddFooter>Seite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selection activeCell="A4" sqref="A4"/>
    </sheetView>
  </sheetViews>
  <sheetFormatPr baseColWidth="10" defaultRowHeight="12.75"/>
  <sheetData>
    <row r="1" spans="1:4">
      <c r="A1" s="70" t="s">
        <v>260</v>
      </c>
      <c r="B1" s="70"/>
      <c r="C1" s="70"/>
      <c r="D1" s="70"/>
    </row>
    <row r="2" spans="1:4">
      <c r="A2" s="70"/>
      <c r="B2" s="70"/>
      <c r="C2" s="70"/>
      <c r="D2" s="70"/>
    </row>
  </sheetData>
  <phoneticPr fontId="15" type="noConversion"/>
  <pageMargins left="0.78740157499999996" right="0.78740157499999996" top="0.984251969" bottom="0.984251969" header="0.4921259845" footer="0.492125984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B3" sqref="B3"/>
    </sheetView>
  </sheetViews>
  <sheetFormatPr baseColWidth="10" defaultRowHeight="12.75"/>
  <cols>
    <col min="1" max="1" width="18.7109375" customWidth="1"/>
  </cols>
  <sheetData>
    <row r="1" spans="1:7">
      <c r="A1" s="71" t="s">
        <v>261</v>
      </c>
      <c r="B1" s="70"/>
      <c r="C1" s="70"/>
      <c r="D1" s="70"/>
      <c r="E1" s="70"/>
      <c r="F1" s="70"/>
      <c r="G1" s="70"/>
    </row>
    <row r="2" spans="1:7">
      <c r="A2" s="70"/>
      <c r="B2" s="70"/>
      <c r="C2" s="70"/>
      <c r="D2" s="70"/>
      <c r="E2" s="70"/>
      <c r="F2" s="70"/>
      <c r="G2" s="70"/>
    </row>
    <row r="3" spans="1:7">
      <c r="A3" s="70" t="s">
        <v>94</v>
      </c>
      <c r="B3" s="2">
        <v>80</v>
      </c>
      <c r="C3" s="70"/>
      <c r="D3" s="70"/>
      <c r="E3" s="70"/>
      <c r="F3" s="70"/>
      <c r="G3" s="70"/>
    </row>
    <row r="4" spans="1:7">
      <c r="A4" s="70" t="s">
        <v>95</v>
      </c>
      <c r="B4" s="2">
        <v>300</v>
      </c>
      <c r="C4" s="70"/>
      <c r="D4" s="70"/>
      <c r="E4" s="70"/>
      <c r="F4" s="70"/>
      <c r="G4" s="70"/>
    </row>
    <row r="5" spans="1:7">
      <c r="A5" s="70"/>
      <c r="B5" s="1"/>
      <c r="C5" s="70"/>
      <c r="D5" s="70"/>
      <c r="E5" s="70"/>
      <c r="F5" s="70"/>
      <c r="G5" s="70"/>
    </row>
    <row r="6" spans="1:7">
      <c r="A6" s="70"/>
      <c r="B6" s="1"/>
      <c r="C6" s="70"/>
      <c r="D6" s="70"/>
      <c r="E6" s="70"/>
      <c r="F6" s="70"/>
      <c r="G6" s="70"/>
    </row>
    <row r="7" spans="1:7">
      <c r="A7" s="70" t="s">
        <v>97</v>
      </c>
      <c r="B7" s="1"/>
      <c r="C7" s="70"/>
      <c r="D7" s="70"/>
      <c r="E7" s="70"/>
      <c r="F7" s="70"/>
      <c r="G7" s="70"/>
    </row>
    <row r="8" spans="1:7">
      <c r="A8" s="70" t="s">
        <v>98</v>
      </c>
      <c r="B8" s="2">
        <v>100</v>
      </c>
      <c r="C8" s="70"/>
      <c r="D8" s="70"/>
      <c r="E8" s="70"/>
      <c r="F8" s="70"/>
      <c r="G8" s="70"/>
    </row>
    <row r="9" spans="1:7">
      <c r="A9" s="70" t="s">
        <v>99</v>
      </c>
      <c r="B9" s="2">
        <v>500</v>
      </c>
      <c r="C9" s="70"/>
      <c r="D9" s="70"/>
      <c r="E9" s="70"/>
      <c r="F9" s="70"/>
      <c r="G9" s="70"/>
    </row>
    <row r="10" spans="1:7">
      <c r="A10" s="70"/>
      <c r="B10" s="1"/>
      <c r="C10" s="70"/>
      <c r="D10" s="70"/>
      <c r="E10" s="70"/>
      <c r="F10" s="70"/>
      <c r="G10" s="70"/>
    </row>
    <row r="11" spans="1:7">
      <c r="A11" s="70"/>
      <c r="B11" s="1"/>
      <c r="C11" s="70"/>
      <c r="D11" s="139">
        <f>B8</f>
        <v>100</v>
      </c>
      <c r="E11" s="139">
        <f>MAX(-D11+$B$4,0)-$B$3</f>
        <v>120</v>
      </c>
      <c r="F11" s="70"/>
      <c r="G11" s="70"/>
    </row>
    <row r="12" spans="1:7">
      <c r="A12" s="70"/>
      <c r="B12" s="1"/>
      <c r="C12" s="70"/>
      <c r="D12" s="139">
        <f>B4</f>
        <v>300</v>
      </c>
      <c r="E12" s="139">
        <f>MAX(-D12+$B$4,0)-$B$3</f>
        <v>-80</v>
      </c>
      <c r="F12" s="70"/>
      <c r="G12" s="70"/>
    </row>
    <row r="13" spans="1:7">
      <c r="A13" s="70"/>
      <c r="B13" s="1"/>
      <c r="C13" s="70"/>
      <c r="D13" s="139">
        <f>B9</f>
        <v>500</v>
      </c>
      <c r="E13" s="139">
        <f>MAX(-D13+$B$4,0)-$B$3</f>
        <v>-80</v>
      </c>
      <c r="F13" s="70"/>
      <c r="G13" s="70"/>
    </row>
    <row r="14" spans="1:7">
      <c r="A14" s="70"/>
      <c r="B14" s="1"/>
      <c r="C14" s="70"/>
      <c r="D14" s="70"/>
      <c r="E14" s="70"/>
      <c r="F14" s="70"/>
      <c r="G14" s="70"/>
    </row>
    <row r="15" spans="1:7">
      <c r="A15" s="70"/>
      <c r="B15" s="1"/>
      <c r="C15" s="70"/>
      <c r="D15" s="70"/>
      <c r="E15" s="70"/>
      <c r="F15" s="70"/>
      <c r="G15" s="70"/>
    </row>
    <row r="16" spans="1:7">
      <c r="A16" s="70"/>
      <c r="B16" s="70"/>
      <c r="C16" s="70"/>
      <c r="D16" s="70"/>
      <c r="E16" s="70"/>
      <c r="F16" s="70"/>
      <c r="G16" s="70"/>
    </row>
    <row r="17" spans="1:7">
      <c r="A17" s="70"/>
      <c r="B17" s="70"/>
      <c r="C17" s="70"/>
      <c r="D17" s="70"/>
      <c r="E17" s="70"/>
      <c r="F17" s="70"/>
      <c r="G17" s="70"/>
    </row>
  </sheetData>
  <phoneticPr fontId="15" type="noConversion"/>
  <pageMargins left="0.78740157480314965" right="0.78740157480314965" top="0.98425196850393704" bottom="0.98425196850393704" header="0.51181102362204722" footer="0.51181102362204722"/>
  <pageSetup paperSize="9" orientation="landscape" horizontalDpi="4294967292" verticalDpi="300" r:id="rId1"/>
  <headerFooter alignWithMargins="0">
    <oddHeader>&amp;C&amp;F            &amp;A</oddHead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workbookViewId="0">
      <selection activeCell="B14" sqref="B14"/>
    </sheetView>
  </sheetViews>
  <sheetFormatPr baseColWidth="10" defaultRowHeight="12.75"/>
  <cols>
    <col min="1" max="1" width="12.7109375" customWidth="1"/>
    <col min="2" max="2" width="8.42578125" customWidth="1"/>
  </cols>
  <sheetData>
    <row r="1" spans="1:14">
      <c r="A1" s="71" t="s">
        <v>297</v>
      </c>
      <c r="B1" s="70"/>
      <c r="C1" s="70"/>
      <c r="D1" s="70"/>
      <c r="E1" s="70"/>
      <c r="F1" s="70"/>
      <c r="G1" s="70"/>
    </row>
    <row r="2" spans="1:14">
      <c r="A2" s="70"/>
      <c r="B2" s="70"/>
      <c r="C2" s="70"/>
      <c r="D2" s="70"/>
      <c r="E2" s="70"/>
      <c r="F2" s="70"/>
      <c r="G2" s="70"/>
    </row>
    <row r="3" spans="1:14">
      <c r="A3" s="70" t="s">
        <v>97</v>
      </c>
      <c r="B3" s="1"/>
      <c r="C3" s="70"/>
      <c r="D3" s="70"/>
      <c r="E3" s="70"/>
      <c r="F3" s="70"/>
      <c r="G3" s="70"/>
    </row>
    <row r="4" spans="1:14">
      <c r="A4" s="70" t="s">
        <v>98</v>
      </c>
      <c r="B4" s="1"/>
      <c r="C4" s="2">
        <v>0</v>
      </c>
      <c r="D4" s="70"/>
      <c r="E4" s="70"/>
      <c r="F4" s="70"/>
      <c r="G4" s="70"/>
    </row>
    <row r="5" spans="1:14">
      <c r="A5" s="70" t="s">
        <v>99</v>
      </c>
      <c r="B5" s="1"/>
      <c r="C5" s="2">
        <v>85</v>
      </c>
      <c r="D5" s="70"/>
      <c r="E5" s="70"/>
      <c r="F5" s="70"/>
      <c r="G5" s="70"/>
    </row>
    <row r="6" spans="1:14">
      <c r="A6" s="70"/>
      <c r="B6" s="1"/>
      <c r="C6" s="70"/>
      <c r="D6" s="70"/>
      <c r="E6" s="70"/>
      <c r="F6" s="70"/>
      <c r="G6" s="70"/>
    </row>
    <row r="7" spans="1:14">
      <c r="A7" s="70" t="s">
        <v>292</v>
      </c>
      <c r="B7" s="1"/>
      <c r="C7" s="74">
        <v>30</v>
      </c>
      <c r="D7" s="70" t="s">
        <v>294</v>
      </c>
      <c r="E7" s="70"/>
      <c r="F7" s="70"/>
      <c r="G7" s="70"/>
    </row>
    <row r="8" spans="1:14">
      <c r="A8" s="70" t="s">
        <v>293</v>
      </c>
      <c r="B8" s="1"/>
      <c r="C8" s="74">
        <v>35</v>
      </c>
      <c r="D8" s="70" t="s">
        <v>295</v>
      </c>
      <c r="E8" s="70"/>
      <c r="F8" s="70"/>
      <c r="G8" s="70"/>
    </row>
    <row r="9" spans="1:14">
      <c r="A9" s="70"/>
      <c r="B9" s="1"/>
      <c r="C9" s="70"/>
      <c r="D9" s="70"/>
      <c r="E9" s="70"/>
      <c r="F9" s="70"/>
      <c r="G9" s="70"/>
    </row>
    <row r="10" spans="1:14">
      <c r="A10" s="70"/>
      <c r="B10" s="257" t="s">
        <v>287</v>
      </c>
      <c r="C10" s="72" t="s">
        <v>95</v>
      </c>
      <c r="D10" s="72" t="s">
        <v>286</v>
      </c>
      <c r="E10" s="70"/>
      <c r="F10" s="70"/>
      <c r="G10" s="70"/>
      <c r="I10" t="s">
        <v>96</v>
      </c>
      <c r="J10" t="s">
        <v>288</v>
      </c>
      <c r="K10" t="str">
        <f>A12</f>
        <v>Short Call</v>
      </c>
      <c r="L10" t="str">
        <f>A13</f>
        <v>Long Put</v>
      </c>
      <c r="M10" t="str">
        <f>A14</f>
        <v>Short-Put</v>
      </c>
      <c r="N10" t="s">
        <v>296</v>
      </c>
    </row>
    <row r="11" spans="1:14">
      <c r="A11" s="72" t="s">
        <v>288</v>
      </c>
      <c r="B11" s="287">
        <v>2</v>
      </c>
      <c r="C11" s="88">
        <v>30</v>
      </c>
      <c r="D11" s="88">
        <v>4</v>
      </c>
      <c r="E11" s="139"/>
      <c r="F11" s="70"/>
      <c r="G11" s="70"/>
      <c r="I11" s="286">
        <f>C4</f>
        <v>0</v>
      </c>
      <c r="J11" s="286">
        <f>$B$11*(MAX(I11-$C$11,0)-$D$11)</f>
        <v>-8</v>
      </c>
      <c r="K11">
        <f>$B$12*(-MAX(I11-$C$12,0)+$D$12)</f>
        <v>0</v>
      </c>
      <c r="L11">
        <f>$B$13*(MAX($C$11-I11,0)-$D$13)</f>
        <v>27</v>
      </c>
      <c r="M11">
        <f>$B$14*(-MAX($C$14-I11,0)+$D$14)</f>
        <v>0</v>
      </c>
      <c r="N11" s="286">
        <f>SUM(J11:M11)</f>
        <v>19</v>
      </c>
    </row>
    <row r="12" spans="1:14">
      <c r="A12" s="72" t="s">
        <v>289</v>
      </c>
      <c r="B12" s="287">
        <v>0</v>
      </c>
      <c r="C12" s="88">
        <v>30</v>
      </c>
      <c r="D12" s="88">
        <v>4</v>
      </c>
      <c r="E12" s="139"/>
      <c r="F12" s="70"/>
      <c r="G12" s="70"/>
      <c r="I12">
        <f>C7</f>
        <v>30</v>
      </c>
      <c r="J12" s="286">
        <f>$B$11*(MAX(I12-$C$11,0)-$D$11)</f>
        <v>-8</v>
      </c>
      <c r="K12">
        <f>$B$12*(-MAX(I12-$C$12,0)+$D$12)</f>
        <v>0</v>
      </c>
      <c r="L12">
        <f>$B$13*(MAX($C$11-I12,0)-$D$13)</f>
        <v>-3</v>
      </c>
      <c r="M12">
        <f>$B$14*(-MAX($C$14-I12,0)+$D$14)</f>
        <v>0</v>
      </c>
      <c r="N12" s="286">
        <f>SUM(J12:M12)</f>
        <v>-11</v>
      </c>
    </row>
    <row r="13" spans="1:14">
      <c r="A13" s="72" t="s">
        <v>290</v>
      </c>
      <c r="B13" s="287">
        <v>1</v>
      </c>
      <c r="C13" s="88">
        <v>30</v>
      </c>
      <c r="D13" s="88">
        <v>3</v>
      </c>
      <c r="E13" s="139"/>
      <c r="F13" s="70"/>
      <c r="G13" s="70"/>
      <c r="I13">
        <f>C8</f>
        <v>35</v>
      </c>
      <c r="J13" s="286">
        <f>$B$11*(MAX(I13-$C$11,0)-$D$11)</f>
        <v>2</v>
      </c>
      <c r="K13">
        <f>$B$12*(-MAX(I13-$C$12,0)+$D$12)</f>
        <v>0</v>
      </c>
      <c r="L13">
        <f>$B$13*(MAX($C$11-I13,0)-$D$13)</f>
        <v>-3</v>
      </c>
      <c r="M13">
        <f>$B$14*(-MAX($C$14-I13,0)+$D$14)</f>
        <v>0</v>
      </c>
      <c r="N13" s="286">
        <f>SUM(J13:M13)</f>
        <v>-1</v>
      </c>
    </row>
    <row r="14" spans="1:14">
      <c r="A14" s="72" t="s">
        <v>291</v>
      </c>
      <c r="B14" s="287">
        <v>0</v>
      </c>
      <c r="C14" s="88">
        <v>30</v>
      </c>
      <c r="D14" s="88">
        <v>3</v>
      </c>
      <c r="E14" s="70"/>
      <c r="F14" s="70"/>
      <c r="G14" s="70"/>
      <c r="I14" s="286">
        <f>C5</f>
        <v>85</v>
      </c>
      <c r="J14" s="286">
        <f>$B$11*(MAX(I14-$C$11,0)-$D$11)</f>
        <v>102</v>
      </c>
      <c r="K14">
        <f>$B$12*(-MAX(I14-$C$12,0)+$D$12)</f>
        <v>0</v>
      </c>
      <c r="L14">
        <f>$B$13*(MAX($C$11-I14,0)-$D$13)</f>
        <v>-3</v>
      </c>
      <c r="M14">
        <f>$B$14*(-MAX($C$14-I14,0)+$D$14)</f>
        <v>0</v>
      </c>
      <c r="N14" s="286">
        <f>SUM(J14:M14)</f>
        <v>99</v>
      </c>
    </row>
    <row r="15" spans="1:14">
      <c r="A15" s="70"/>
      <c r="B15" s="1"/>
      <c r="C15" s="70"/>
      <c r="D15" s="70"/>
      <c r="E15" s="70"/>
      <c r="F15" s="70"/>
      <c r="G15" s="70"/>
    </row>
    <row r="16" spans="1:14">
      <c r="A16" s="70"/>
      <c r="B16" s="70"/>
      <c r="C16" s="70"/>
      <c r="D16" s="70"/>
      <c r="E16" s="70"/>
      <c r="F16" s="70"/>
      <c r="G16" s="70"/>
    </row>
    <row r="17" spans="1:7">
      <c r="A17" s="70"/>
      <c r="B17" s="70"/>
      <c r="C17" s="70"/>
      <c r="D17" s="70"/>
      <c r="E17" s="70"/>
      <c r="F17" s="70"/>
      <c r="G17" s="70"/>
    </row>
    <row r="51" spans="1:8">
      <c r="A51" t="s">
        <v>228</v>
      </c>
      <c r="E51" t="s">
        <v>234</v>
      </c>
      <c r="H51" t="s">
        <v>12</v>
      </c>
    </row>
  </sheetData>
  <phoneticPr fontId="0" type="noConversion"/>
  <pageMargins left="0.78740157480314965" right="0.78740157480314965" top="0.98425196850393704" bottom="0.98425196850393704" header="0.51181102362204722" footer="0.51181102362204722"/>
  <pageSetup paperSize="9" orientation="landscape" horizontalDpi="4294967292" verticalDpi="300" r:id="rId1"/>
  <headerFooter alignWithMargins="0">
    <oddHeader>&amp;C&amp;F            &amp;A</oddHead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workbookViewId="0">
      <selection activeCell="A4" sqref="A4"/>
    </sheetView>
  </sheetViews>
  <sheetFormatPr baseColWidth="10" defaultRowHeight="12.75"/>
  <cols>
    <col min="1" max="1" width="12.7109375" customWidth="1"/>
    <col min="2" max="2" width="8.42578125" customWidth="1"/>
  </cols>
  <sheetData>
    <row r="1" spans="1:14">
      <c r="A1" s="71" t="s">
        <v>297</v>
      </c>
      <c r="B1" s="70"/>
      <c r="C1" s="70"/>
      <c r="D1" s="70"/>
      <c r="E1" s="70"/>
      <c r="F1" s="70"/>
      <c r="G1" s="70"/>
    </row>
    <row r="2" spans="1:14">
      <c r="A2" s="70"/>
      <c r="B2" s="70"/>
      <c r="C2" s="70"/>
      <c r="D2" s="70"/>
      <c r="E2" s="70"/>
      <c r="F2" s="70"/>
      <c r="G2" s="70"/>
    </row>
    <row r="3" spans="1:14">
      <c r="A3" s="70" t="s">
        <v>97</v>
      </c>
      <c r="B3" s="1"/>
      <c r="C3" s="70"/>
      <c r="D3" s="70"/>
      <c r="E3" s="70"/>
      <c r="F3" s="70"/>
      <c r="G3" s="70"/>
    </row>
    <row r="4" spans="1:14">
      <c r="A4" s="70" t="s">
        <v>98</v>
      </c>
      <c r="B4" s="1"/>
      <c r="C4" s="2">
        <v>0</v>
      </c>
      <c r="D4" s="70"/>
      <c r="E4" s="70"/>
      <c r="F4" s="70"/>
      <c r="G4" s="70"/>
    </row>
    <row r="5" spans="1:14">
      <c r="A5" s="70" t="s">
        <v>99</v>
      </c>
      <c r="B5" s="1"/>
      <c r="C5" s="2">
        <v>85</v>
      </c>
      <c r="D5" s="70"/>
      <c r="E5" s="70"/>
      <c r="F5" s="70"/>
      <c r="G5" s="70"/>
    </row>
    <row r="6" spans="1:14">
      <c r="A6" s="70"/>
      <c r="B6" s="1"/>
      <c r="C6" s="70"/>
      <c r="D6" s="70"/>
      <c r="E6" s="70"/>
      <c r="F6" s="70"/>
      <c r="G6" s="70"/>
    </row>
    <row r="7" spans="1:14">
      <c r="A7" s="70" t="s">
        <v>292</v>
      </c>
      <c r="B7" s="1"/>
      <c r="C7" s="74">
        <v>30</v>
      </c>
      <c r="D7" s="70" t="s">
        <v>294</v>
      </c>
      <c r="E7" s="70"/>
      <c r="F7" s="70"/>
      <c r="G7" s="70"/>
    </row>
    <row r="8" spans="1:14">
      <c r="A8" s="70" t="s">
        <v>293</v>
      </c>
      <c r="B8" s="1"/>
      <c r="C8" s="74">
        <v>35</v>
      </c>
      <c r="D8" s="70" t="s">
        <v>295</v>
      </c>
      <c r="E8" s="70"/>
      <c r="F8" s="70"/>
      <c r="G8" s="70"/>
    </row>
    <row r="9" spans="1:14">
      <c r="A9" s="70"/>
      <c r="B9" s="1"/>
      <c r="C9" s="70"/>
      <c r="D9" s="70"/>
      <c r="E9" s="70"/>
      <c r="F9" s="70"/>
      <c r="G9" s="70"/>
    </row>
    <row r="10" spans="1:14">
      <c r="A10" s="70"/>
      <c r="B10" s="257" t="s">
        <v>287</v>
      </c>
      <c r="C10" s="72" t="s">
        <v>95</v>
      </c>
      <c r="D10" s="72" t="s">
        <v>286</v>
      </c>
      <c r="E10" s="70"/>
      <c r="F10" s="70"/>
      <c r="G10" s="70"/>
      <c r="I10" t="s">
        <v>96</v>
      </c>
      <c r="J10" t="s">
        <v>288</v>
      </c>
      <c r="K10" t="str">
        <f>A12</f>
        <v>Short Call</v>
      </c>
      <c r="L10" t="str">
        <f>A13</f>
        <v>Long Put</v>
      </c>
      <c r="M10" t="str">
        <f>A14</f>
        <v>Short-Put</v>
      </c>
      <c r="N10" t="s">
        <v>296</v>
      </c>
    </row>
    <row r="11" spans="1:14">
      <c r="A11" s="72" t="s">
        <v>288</v>
      </c>
      <c r="B11" s="287">
        <v>0</v>
      </c>
      <c r="C11" s="88">
        <v>30</v>
      </c>
      <c r="D11" s="88">
        <v>4</v>
      </c>
      <c r="E11" s="139"/>
      <c r="F11" s="70"/>
      <c r="G11" s="70"/>
      <c r="I11" s="286">
        <f>C4</f>
        <v>0</v>
      </c>
      <c r="J11" s="286">
        <f>$B$11*(MAX(I11-$C$11,0)-$D$11)</f>
        <v>0</v>
      </c>
      <c r="K11">
        <f>$B$12*(-MAX(I11-$C$12,0)+$D$12)</f>
        <v>3</v>
      </c>
      <c r="L11">
        <f>$B$13*(MAX($C$11-I11,0)-$D$13)</f>
        <v>0</v>
      </c>
      <c r="M11">
        <f>$B$14*(-MAX($C$14-I11,0)+$D$14)</f>
        <v>-28</v>
      </c>
      <c r="N11" s="286">
        <f>SUM(J11:M11)</f>
        <v>-25</v>
      </c>
    </row>
    <row r="12" spans="1:14">
      <c r="A12" s="72" t="s">
        <v>289</v>
      </c>
      <c r="B12" s="287">
        <v>1</v>
      </c>
      <c r="C12" s="88">
        <v>35</v>
      </c>
      <c r="D12" s="88">
        <v>3</v>
      </c>
      <c r="E12" s="139"/>
      <c r="F12" s="70"/>
      <c r="G12" s="70"/>
      <c r="I12">
        <f>C7</f>
        <v>30</v>
      </c>
      <c r="J12" s="286">
        <f>$B$11*(MAX(I12-$C$11,0)-$D$11)</f>
        <v>0</v>
      </c>
      <c r="K12">
        <f>$B$12*(-MAX(I12-$C$12,0)+$D$12)</f>
        <v>3</v>
      </c>
      <c r="L12">
        <f>$B$13*(MAX($C$11-I12,0)-$D$13)</f>
        <v>0</v>
      </c>
      <c r="M12">
        <f>$B$14*(-MAX($C$14-I12,0)+$D$14)</f>
        <v>2</v>
      </c>
      <c r="N12" s="286">
        <f>SUM(J12:M12)</f>
        <v>5</v>
      </c>
    </row>
    <row r="13" spans="1:14">
      <c r="A13" s="72" t="s">
        <v>290</v>
      </c>
      <c r="B13" s="287">
        <v>0</v>
      </c>
      <c r="C13" s="88">
        <v>30</v>
      </c>
      <c r="D13" s="88">
        <v>3</v>
      </c>
      <c r="E13" s="139"/>
      <c r="F13" s="70"/>
      <c r="G13" s="70"/>
      <c r="I13">
        <f>C8</f>
        <v>35</v>
      </c>
      <c r="J13" s="286">
        <f>$B$11*(MAX(I13-$C$11,0)-$D$11)</f>
        <v>0</v>
      </c>
      <c r="K13">
        <f>$B$12*(-MAX(I13-$C$12,0)+$D$12)</f>
        <v>3</v>
      </c>
      <c r="L13">
        <f>$B$13*(MAX($C$11-I13,0)-$D$13)</f>
        <v>0</v>
      </c>
      <c r="M13">
        <f>$B$14*(-MAX($C$14-I13,0)+$D$14)</f>
        <v>2</v>
      </c>
      <c r="N13" s="286">
        <f>SUM(J13:M13)</f>
        <v>5</v>
      </c>
    </row>
    <row r="14" spans="1:14">
      <c r="A14" s="72" t="s">
        <v>291</v>
      </c>
      <c r="B14" s="287">
        <v>1</v>
      </c>
      <c r="C14" s="88">
        <v>30</v>
      </c>
      <c r="D14" s="88">
        <v>2</v>
      </c>
      <c r="E14" s="70"/>
      <c r="F14" s="70"/>
      <c r="G14" s="70"/>
      <c r="I14" s="286">
        <f>C5</f>
        <v>85</v>
      </c>
      <c r="J14" s="286">
        <f>$B$11*(MAX(I14-$C$11,0)-$D$11)</f>
        <v>0</v>
      </c>
      <c r="K14">
        <f>$B$12*(-MAX(I14-$C$12,0)+$D$12)</f>
        <v>-47</v>
      </c>
      <c r="L14">
        <f>$B$13*(MAX($C$11-I14,0)-$D$13)</f>
        <v>0</v>
      </c>
      <c r="M14">
        <f>$B$14*(-MAX($C$14-I14,0)+$D$14)</f>
        <v>2</v>
      </c>
      <c r="N14" s="286">
        <f>SUM(J14:M14)</f>
        <v>-45</v>
      </c>
    </row>
    <row r="15" spans="1:14">
      <c r="A15" s="70"/>
      <c r="B15" s="1"/>
      <c r="C15" s="70"/>
      <c r="D15" s="70"/>
      <c r="E15" s="70"/>
      <c r="F15" s="70"/>
      <c r="G15" s="70"/>
    </row>
    <row r="16" spans="1:14">
      <c r="A16" s="70"/>
      <c r="B16" s="70"/>
      <c r="C16" s="70"/>
      <c r="D16" s="70"/>
      <c r="E16" s="70"/>
      <c r="F16" s="70"/>
      <c r="G16" s="70"/>
    </row>
    <row r="17" spans="1:7">
      <c r="A17" s="70"/>
      <c r="B17" s="70"/>
      <c r="C17" s="70"/>
      <c r="D17" s="70"/>
      <c r="E17" s="70"/>
      <c r="F17" s="70"/>
      <c r="G17" s="70"/>
    </row>
  </sheetData>
  <phoneticPr fontId="0" type="noConversion"/>
  <dataValidations count="1">
    <dataValidation type="list" allowBlank="1" showInputMessage="1" showErrorMessage="1" sqref="C11:C14">
      <formula1>$C$7:$C$8</formula1>
    </dataValidation>
  </dataValidations>
  <pageMargins left="0.78740157480314965" right="0.78740157480314965" top="0.98425196850393704" bottom="0.98425196850393704" header="0.51181102362204722" footer="0.51181102362204722"/>
  <pageSetup paperSize="9" orientation="landscape" horizontalDpi="4294967292" verticalDpi="0" r:id="rId1"/>
  <headerFooter alignWithMargins="0">
    <oddHeader>&amp;C&amp;F            &amp;A</oddHead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opLeftCell="A10" workbookViewId="0">
      <selection activeCell="A4" sqref="A4"/>
    </sheetView>
  </sheetViews>
  <sheetFormatPr baseColWidth="10" defaultRowHeight="12.75"/>
  <cols>
    <col min="1" max="1" width="12.7109375" customWidth="1"/>
    <col min="2" max="2" width="8.42578125" customWidth="1"/>
  </cols>
  <sheetData>
    <row r="1" spans="1:14">
      <c r="A1" s="71" t="s">
        <v>297</v>
      </c>
      <c r="B1" s="70"/>
      <c r="C1" s="70"/>
      <c r="D1" s="70"/>
      <c r="E1" s="70"/>
      <c r="F1" s="70"/>
      <c r="G1" s="70"/>
    </row>
    <row r="2" spans="1:14">
      <c r="A2" s="70"/>
      <c r="B2" s="70"/>
      <c r="C2" s="70"/>
      <c r="D2" s="70"/>
      <c r="E2" s="70"/>
      <c r="F2" s="70"/>
      <c r="G2" s="70"/>
    </row>
    <row r="3" spans="1:14">
      <c r="A3" s="70" t="s">
        <v>97</v>
      </c>
      <c r="B3" s="1"/>
      <c r="C3" s="70"/>
      <c r="D3" s="70"/>
      <c r="E3" s="70"/>
      <c r="F3" s="70"/>
      <c r="G3" s="70"/>
    </row>
    <row r="4" spans="1:14">
      <c r="A4" s="70" t="s">
        <v>98</v>
      </c>
      <c r="B4" s="1"/>
      <c r="C4" s="2">
        <v>0</v>
      </c>
      <c r="D4" s="70"/>
      <c r="E4" s="70"/>
      <c r="F4" s="70"/>
      <c r="G4" s="70"/>
    </row>
    <row r="5" spans="1:14">
      <c r="A5" s="70" t="s">
        <v>99</v>
      </c>
      <c r="B5" s="1"/>
      <c r="C5" s="2">
        <v>85</v>
      </c>
      <c r="D5" s="70"/>
      <c r="E5" s="70"/>
      <c r="F5" s="70"/>
      <c r="G5" s="70"/>
    </row>
    <row r="6" spans="1:14">
      <c r="A6" s="70"/>
      <c r="B6" s="1"/>
      <c r="C6" s="70"/>
      <c r="D6" s="70"/>
      <c r="E6" s="70"/>
      <c r="F6" s="70"/>
      <c r="G6" s="70"/>
    </row>
    <row r="7" spans="1:14">
      <c r="A7" s="70" t="s">
        <v>292</v>
      </c>
      <c r="B7" s="1"/>
      <c r="C7" s="74">
        <v>30</v>
      </c>
      <c r="D7" s="70" t="s">
        <v>294</v>
      </c>
      <c r="E7" s="70"/>
      <c r="F7" s="70"/>
      <c r="G7" s="70"/>
    </row>
    <row r="8" spans="1:14">
      <c r="A8" s="70" t="s">
        <v>293</v>
      </c>
      <c r="B8" s="1"/>
      <c r="C8" s="74">
        <v>35</v>
      </c>
      <c r="D8" s="70" t="s">
        <v>295</v>
      </c>
      <c r="E8" s="70"/>
      <c r="F8" s="70"/>
      <c r="G8" s="70"/>
    </row>
    <row r="9" spans="1:14">
      <c r="A9" s="70"/>
      <c r="B9" s="1"/>
      <c r="C9" s="70"/>
      <c r="D9" s="70"/>
      <c r="E9" s="70"/>
      <c r="F9" s="70"/>
      <c r="G9" s="70"/>
    </row>
    <row r="10" spans="1:14">
      <c r="A10" s="70"/>
      <c r="B10" s="257" t="s">
        <v>287</v>
      </c>
      <c r="C10" s="72" t="s">
        <v>95</v>
      </c>
      <c r="D10" s="72" t="s">
        <v>286</v>
      </c>
      <c r="E10" s="70"/>
      <c r="F10" s="70"/>
      <c r="G10" s="70"/>
      <c r="I10" t="s">
        <v>96</v>
      </c>
      <c r="J10" t="s">
        <v>288</v>
      </c>
      <c r="K10" t="str">
        <f>A12</f>
        <v>Short Call</v>
      </c>
      <c r="L10" t="str">
        <f>A13</f>
        <v>Long Put</v>
      </c>
      <c r="M10" t="str">
        <f>A14</f>
        <v>Short-Put</v>
      </c>
      <c r="N10" t="s">
        <v>296</v>
      </c>
    </row>
    <row r="11" spans="1:14">
      <c r="A11" s="72" t="s">
        <v>288</v>
      </c>
      <c r="B11" s="287">
        <v>1</v>
      </c>
      <c r="C11" s="88">
        <v>35</v>
      </c>
      <c r="D11" s="88">
        <v>4</v>
      </c>
      <c r="E11" s="139"/>
      <c r="F11" s="70"/>
      <c r="G11" s="70"/>
      <c r="I11" s="286">
        <f>C4</f>
        <v>0</v>
      </c>
      <c r="J11" s="286">
        <f>$B$11*(MAX(I11-$C$11,0)-$D$11)</f>
        <v>-4</v>
      </c>
      <c r="K11">
        <f>$B$12*(-MAX(I11-$C$12,0)+$D$12)</f>
        <v>7</v>
      </c>
      <c r="L11">
        <f>$B$13*(MAX($C$11-I11,0)-$D$13)</f>
        <v>0</v>
      </c>
      <c r="M11">
        <f>$B$14*(-MAX($C$14-I11,0)+$D$14)</f>
        <v>0</v>
      </c>
      <c r="N11" s="286">
        <f>SUM(J11:M11)</f>
        <v>3</v>
      </c>
    </row>
    <row r="12" spans="1:14">
      <c r="A12" s="72" t="s">
        <v>289</v>
      </c>
      <c r="B12" s="287">
        <v>1</v>
      </c>
      <c r="C12" s="88">
        <v>30</v>
      </c>
      <c r="D12" s="88">
        <v>7</v>
      </c>
      <c r="E12" s="139"/>
      <c r="F12" s="70"/>
      <c r="G12" s="70"/>
      <c r="I12">
        <f>C7</f>
        <v>30</v>
      </c>
      <c r="J12" s="286">
        <f>$B$11*(MAX(I12-$C$11,0)-$D$11)</f>
        <v>-4</v>
      </c>
      <c r="K12">
        <f>$B$12*(-MAX(I12-$C$12,0)+$D$12)</f>
        <v>7</v>
      </c>
      <c r="L12">
        <f>$B$13*(MAX($C$11-I12,0)-$D$13)</f>
        <v>0</v>
      </c>
      <c r="M12">
        <f>$B$14*(-MAX($C$14-I12,0)+$D$14)</f>
        <v>0</v>
      </c>
      <c r="N12" s="286">
        <f>SUM(J12:M12)</f>
        <v>3</v>
      </c>
    </row>
    <row r="13" spans="1:14">
      <c r="A13" s="72" t="s">
        <v>290</v>
      </c>
      <c r="B13" s="287">
        <v>0</v>
      </c>
      <c r="C13" s="88">
        <v>30</v>
      </c>
      <c r="D13" s="88">
        <v>3</v>
      </c>
      <c r="E13" s="139"/>
      <c r="F13" s="70"/>
      <c r="G13" s="70"/>
      <c r="I13">
        <f>C8</f>
        <v>35</v>
      </c>
      <c r="J13" s="286">
        <f>$B$11*(MAX(I13-$C$11,0)-$D$11)</f>
        <v>-4</v>
      </c>
      <c r="K13">
        <f>$B$12*(-MAX(I13-$C$12,0)+$D$12)</f>
        <v>2</v>
      </c>
      <c r="L13">
        <f>$B$13*(MAX($C$11-I13,0)-$D$13)</f>
        <v>0</v>
      </c>
      <c r="M13">
        <f>$B$14*(-MAX($C$14-I13,0)+$D$14)</f>
        <v>0</v>
      </c>
      <c r="N13" s="286">
        <f>SUM(J13:M13)</f>
        <v>-2</v>
      </c>
    </row>
    <row r="14" spans="1:14">
      <c r="A14" s="72" t="s">
        <v>291</v>
      </c>
      <c r="B14" s="287">
        <v>0</v>
      </c>
      <c r="C14" s="88">
        <v>30</v>
      </c>
      <c r="D14" s="88">
        <v>3</v>
      </c>
      <c r="E14" s="70"/>
      <c r="F14" s="70"/>
      <c r="G14" s="70"/>
      <c r="I14" s="286">
        <f>C5</f>
        <v>85</v>
      </c>
      <c r="J14" s="286">
        <f>$B$11*(MAX(I14-$C$11,0)-$D$11)</f>
        <v>46</v>
      </c>
      <c r="K14">
        <f>$B$12*(-MAX(I14-$C$12,0)+$D$12)</f>
        <v>-48</v>
      </c>
      <c r="L14">
        <f>$B$13*(MAX($C$11-I14,0)-$D$13)</f>
        <v>0</v>
      </c>
      <c r="M14">
        <f>$B$14*(-MAX($C$14-I14,0)+$D$14)</f>
        <v>0</v>
      </c>
      <c r="N14" s="286">
        <f>SUM(J14:M14)</f>
        <v>-2</v>
      </c>
    </row>
    <row r="15" spans="1:14">
      <c r="A15" s="70"/>
      <c r="B15" s="1"/>
      <c r="C15" s="70"/>
      <c r="D15" s="70"/>
      <c r="E15" s="70"/>
      <c r="F15" s="70"/>
      <c r="G15" s="70"/>
    </row>
    <row r="16" spans="1:14">
      <c r="A16" s="70"/>
      <c r="B16" s="70"/>
      <c r="C16" s="70"/>
      <c r="D16" s="70"/>
      <c r="E16" s="70"/>
      <c r="F16" s="70"/>
      <c r="G16" s="70"/>
    </row>
    <row r="17" spans="1:7">
      <c r="A17" s="70"/>
      <c r="B17" s="70"/>
      <c r="C17" s="70"/>
      <c r="D17" s="70"/>
      <c r="E17" s="70"/>
      <c r="F17" s="70"/>
      <c r="G17" s="70"/>
    </row>
  </sheetData>
  <phoneticPr fontId="0" type="noConversion"/>
  <dataValidations count="1">
    <dataValidation type="list" allowBlank="1" showInputMessage="1" showErrorMessage="1" sqref="C11:C14">
      <formula1>$C$7:$C$8</formula1>
    </dataValidation>
  </dataValidations>
  <pageMargins left="0.78740157480314965" right="0.78740157480314965" top="0.98425196850393704" bottom="0.98425196850393704" header="0.51181102362204722" footer="0.51181102362204722"/>
  <pageSetup paperSize="9" orientation="landscape" horizontalDpi="4294967292" verticalDpi="0" r:id="rId1"/>
  <headerFooter alignWithMargins="0">
    <oddHeader>&amp;C&amp;F            &amp;A</oddHead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B1" sqref="B1"/>
    </sheetView>
  </sheetViews>
  <sheetFormatPr baseColWidth="10" defaultRowHeight="12.75"/>
  <cols>
    <col min="5" max="5" width="7.7109375" customWidth="1"/>
    <col min="7" max="7" width="12.5703125" customWidth="1"/>
    <col min="8" max="8" width="6.42578125" customWidth="1"/>
  </cols>
  <sheetData>
    <row r="1" spans="1:9">
      <c r="A1" s="70"/>
      <c r="B1" s="332">
        <v>36699</v>
      </c>
      <c r="C1" s="332">
        <v>36882</v>
      </c>
      <c r="D1" s="70"/>
      <c r="E1" s="70"/>
      <c r="F1" s="70"/>
      <c r="G1" s="70"/>
      <c r="H1" s="70"/>
      <c r="I1" s="70"/>
    </row>
    <row r="2" spans="1:9">
      <c r="A2" s="70"/>
      <c r="B2" s="70"/>
      <c r="C2" s="70"/>
      <c r="D2" s="70"/>
      <c r="E2" s="268"/>
      <c r="F2" s="13" t="s">
        <v>262</v>
      </c>
      <c r="G2" s="13"/>
      <c r="H2" s="269"/>
      <c r="I2" s="70"/>
    </row>
    <row r="3" spans="1:9" ht="24" customHeight="1">
      <c r="A3" s="140"/>
      <c r="B3" s="270" t="s">
        <v>263</v>
      </c>
      <c r="C3" s="234" t="s">
        <v>264</v>
      </c>
      <c r="D3" s="270" t="s">
        <v>265</v>
      </c>
      <c r="E3" s="271"/>
      <c r="F3" s="272" t="s">
        <v>266</v>
      </c>
      <c r="G3" s="271" t="s">
        <v>267</v>
      </c>
      <c r="H3" s="269"/>
      <c r="I3" s="70"/>
    </row>
    <row r="4" spans="1:9">
      <c r="A4" s="140" t="s">
        <v>101</v>
      </c>
      <c r="B4" s="273">
        <f>100</f>
        <v>100</v>
      </c>
      <c r="C4" s="142">
        <v>1</v>
      </c>
      <c r="D4" s="145">
        <f>-C4*B4</f>
        <v>-100</v>
      </c>
      <c r="E4" s="274">
        <f>C4</f>
        <v>1</v>
      </c>
      <c r="F4" s="275" t="s">
        <v>268</v>
      </c>
      <c r="G4" s="268">
        <f>C4</f>
        <v>1</v>
      </c>
      <c r="H4" s="269" t="s">
        <v>268</v>
      </c>
      <c r="I4" s="70"/>
    </row>
    <row r="5" spans="1:9">
      <c r="A5" s="140" t="s">
        <v>100</v>
      </c>
      <c r="B5" s="273">
        <v>8</v>
      </c>
      <c r="C5" s="142">
        <v>-1</v>
      </c>
      <c r="D5" s="145">
        <f>-C5*B5</f>
        <v>8</v>
      </c>
      <c r="E5" s="276"/>
      <c r="F5" s="275">
        <v>0</v>
      </c>
      <c r="G5" s="277">
        <f>-C5*100</f>
        <v>100</v>
      </c>
      <c r="H5" s="278">
        <f>-C5</f>
        <v>1</v>
      </c>
      <c r="I5" s="70"/>
    </row>
    <row r="6" spans="1:9">
      <c r="A6" s="140" t="s">
        <v>269</v>
      </c>
      <c r="B6" s="273">
        <v>4</v>
      </c>
      <c r="C6" s="142">
        <v>1</v>
      </c>
      <c r="D6" s="145">
        <f>-C6*B6</f>
        <v>-4</v>
      </c>
      <c r="E6" s="274">
        <f>-C6</f>
        <v>-1</v>
      </c>
      <c r="F6" s="279">
        <f>100*C6</f>
        <v>100</v>
      </c>
      <c r="G6" s="268">
        <v>0</v>
      </c>
      <c r="H6" s="269"/>
      <c r="I6" s="70"/>
    </row>
    <row r="7" spans="1:9">
      <c r="A7" s="70" t="s">
        <v>270</v>
      </c>
      <c r="B7" s="70"/>
      <c r="C7" s="70"/>
      <c r="D7" s="280">
        <f>-F7/(1+DAYS360(B1,C1)/360*B8)</f>
        <v>97.087378640776691</v>
      </c>
      <c r="E7" s="268"/>
      <c r="F7" s="281">
        <f>-F6</f>
        <v>-100</v>
      </c>
      <c r="G7" s="276">
        <f>-G5</f>
        <v>-100</v>
      </c>
      <c r="H7" s="269"/>
      <c r="I7" s="70"/>
    </row>
    <row r="8" spans="1:9">
      <c r="A8" s="70" t="s">
        <v>271</v>
      </c>
      <c r="B8" s="157">
        <v>0.06</v>
      </c>
      <c r="C8" s="72" t="s">
        <v>157</v>
      </c>
      <c r="D8" s="4">
        <f>SUM(D4:D7)</f>
        <v>1.0873786407766914</v>
      </c>
      <c r="E8" s="70"/>
      <c r="F8" s="282">
        <f>C4-C6</f>
        <v>0</v>
      </c>
      <c r="G8" s="70">
        <f>C4+C5</f>
        <v>0</v>
      </c>
      <c r="H8" s="4" t="s">
        <v>268</v>
      </c>
      <c r="I8" s="70"/>
    </row>
    <row r="9" spans="1:9">
      <c r="A9" s="70"/>
      <c r="B9" s="70"/>
      <c r="C9" s="72" t="s">
        <v>272</v>
      </c>
      <c r="D9" s="70">
        <f>IF(AND(F8&gt;=0,D8&gt;=0,G8&gt;=0),D8,"Keine")</f>
        <v>1.0873786407766914</v>
      </c>
      <c r="E9" s="70"/>
      <c r="F9" s="70"/>
      <c r="G9" s="70"/>
      <c r="H9" s="70"/>
      <c r="I9" s="70"/>
    </row>
    <row r="10" spans="1:9">
      <c r="A10" s="70"/>
      <c r="B10" s="70"/>
      <c r="C10" s="70"/>
      <c r="D10" s="70"/>
      <c r="E10" s="70"/>
      <c r="F10" s="70"/>
      <c r="G10" s="70"/>
      <c r="H10" s="70"/>
      <c r="I10" s="70"/>
    </row>
  </sheetData>
  <phoneticPr fontId="15" type="noConversion"/>
  <pageMargins left="0.78740157499999996" right="0.78740157499999996" top="0.984251969" bottom="0.984251969" header="0.4921259845" footer="0.4921259845"/>
  <headerFooter alignWithMargins="0">
    <oddHeader>&amp;A</oddHeader>
    <oddFooter>Seite &amp;P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B3" sqref="B3"/>
    </sheetView>
  </sheetViews>
  <sheetFormatPr baseColWidth="10" defaultRowHeight="12.75"/>
  <cols>
    <col min="1" max="1" width="26" customWidth="1"/>
    <col min="2" max="2" width="20.42578125" customWidth="1"/>
  </cols>
  <sheetData>
    <row r="1" spans="1:3" s="148" customFormat="1">
      <c r="A1" s="71" t="s">
        <v>273</v>
      </c>
      <c r="B1" s="147"/>
      <c r="C1" s="147"/>
    </row>
    <row r="2" spans="1:3" s="148" customFormat="1">
      <c r="A2" s="147"/>
      <c r="B2" s="147"/>
      <c r="C2" s="147"/>
    </row>
    <row r="3" spans="1:3" s="148" customFormat="1">
      <c r="A3" s="149" t="s">
        <v>116</v>
      </c>
      <c r="B3" s="150">
        <v>310</v>
      </c>
      <c r="C3" s="147"/>
    </row>
    <row r="4" spans="1:3" s="148" customFormat="1">
      <c r="A4" s="149" t="s">
        <v>117</v>
      </c>
      <c r="B4" s="150">
        <v>300</v>
      </c>
      <c r="C4" s="147"/>
    </row>
    <row r="5" spans="1:3" s="148" customFormat="1">
      <c r="A5" s="149" t="s">
        <v>118</v>
      </c>
      <c r="B5" s="151">
        <v>0.04</v>
      </c>
      <c r="C5" s="147"/>
    </row>
    <row r="6" spans="1:3" s="148" customFormat="1">
      <c r="A6" s="149" t="s">
        <v>119</v>
      </c>
      <c r="B6" s="152">
        <v>0.2</v>
      </c>
      <c r="C6" s="147"/>
    </row>
    <row r="7" spans="1:3" s="148" customFormat="1">
      <c r="A7" s="149" t="s">
        <v>120</v>
      </c>
      <c r="B7" s="153">
        <v>0.5</v>
      </c>
      <c r="C7" s="147"/>
    </row>
    <row r="8" spans="1:3" s="148" customFormat="1">
      <c r="A8" s="147"/>
      <c r="B8" s="147"/>
      <c r="C8" s="147"/>
    </row>
    <row r="9" spans="1:3" s="148" customFormat="1">
      <c r="A9" s="149" t="s">
        <v>121</v>
      </c>
      <c r="B9" s="266">
        <f>IF($B$7=0,MAX($B$3-$B$4,0),$B$3*NORMSDIST((LN($B$3 / $B$4)+ ($B$5+($B$6^2)/2)*$B$7)/($B$6*SQRT($B$7)))-$B$4*EXP(-$B$7*$B$5)*NORMSDIST((LN($B$3 / $B$4)+ ($B$5-($B$6^2)/2)*$B$7)/($B$6*SQRT($B$7))))</f>
        <v>26.166527940949692</v>
      </c>
      <c r="C9" s="147"/>
    </row>
    <row r="10" spans="1:3" s="148" customFormat="1">
      <c r="A10" s="149" t="s">
        <v>122</v>
      </c>
      <c r="B10" s="266">
        <f>IF(B7=0,MAX(B4-B3,0),$B$4*EXP(-$B$7*$B$5)*NORMSDIST(-((LN($B$3 / $B$4)+ ($B$5-($B$6^2)/2)*$B$7)/($B$6*SQRT($B$7))))-$B$3*NORMSDIST(-((LN($B$3 / $B$4)+ ($B$5+($B$6^2)/2)*$B$7)/($B$6*SQRT($B$7)))))</f>
        <v>10.226129932976264</v>
      </c>
      <c r="C10" s="147"/>
    </row>
    <row r="11" spans="1:3" s="148" customFormat="1">
      <c r="A11" s="147"/>
      <c r="B11" s="147"/>
      <c r="C11" s="147"/>
    </row>
    <row r="13" spans="1:3">
      <c r="A13" s="267"/>
    </row>
    <row r="14" spans="1:3">
      <c r="A14" s="267"/>
    </row>
  </sheetData>
  <phoneticPr fontId="11" type="noConversion"/>
  <printOptions headings="1"/>
  <pageMargins left="0.78740157480314965" right="0.78740157480314965" top="0.98425196850393704" bottom="0.98425196850393704" header="0.51181102362204722" footer="0.51181102362204722"/>
  <pageSetup paperSize="9" orientation="portrait" blackAndWhite="1" horizontalDpi="300" verticalDpi="300" r:id="rId1"/>
  <headerFooter alignWithMargins="0">
    <oddHeader>&amp;A</oddHeader>
    <oddFooter>Seite &amp;P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election activeCell="A4" sqref="A4"/>
    </sheetView>
  </sheetViews>
  <sheetFormatPr baseColWidth="10" defaultRowHeight="12.75"/>
  <sheetData>
    <row r="1" spans="1:5">
      <c r="A1" s="70" t="s">
        <v>319</v>
      </c>
      <c r="B1" s="70"/>
      <c r="C1" s="70"/>
      <c r="D1" s="70"/>
      <c r="E1" s="70"/>
    </row>
    <row r="2" spans="1:5">
      <c r="A2" s="70"/>
      <c r="B2" s="70"/>
      <c r="C2" s="70"/>
      <c r="D2" s="70"/>
      <c r="E2" s="70"/>
    </row>
    <row r="3" spans="1:5">
      <c r="A3" s="70"/>
      <c r="B3" s="70"/>
      <c r="C3" s="70"/>
      <c r="D3" s="70"/>
      <c r="E3" s="70"/>
    </row>
  </sheetData>
  <phoneticPr fontId="15" type="noConversion"/>
  <pageMargins left="0.78740157499999996" right="0.78740157499999996" top="0.984251969" bottom="0.984251969" header="0.4921259845" footer="0.492125984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B2" sqref="B2"/>
    </sheetView>
  </sheetViews>
  <sheetFormatPr baseColWidth="10" defaultRowHeight="12.75"/>
  <cols>
    <col min="1" max="1" width="21.7109375" style="11" customWidth="1"/>
    <col min="2" max="2" width="15" style="11" customWidth="1"/>
    <col min="3" max="3" width="14.28515625" style="11" customWidth="1"/>
    <col min="4" max="4" width="13.28515625" style="11" customWidth="1"/>
    <col min="5" max="5" width="13.85546875" style="11" customWidth="1"/>
    <col min="6" max="6" width="7.140625" style="11" customWidth="1"/>
    <col min="7" max="7" width="13.5703125" style="11" customWidth="1"/>
    <col min="8" max="16384" width="11.42578125" style="11"/>
  </cols>
  <sheetData>
    <row r="1" spans="1:6">
      <c r="A1" s="173" t="s">
        <v>145</v>
      </c>
      <c r="B1" s="10"/>
      <c r="C1" s="10"/>
      <c r="D1" s="10"/>
      <c r="E1" s="10"/>
      <c r="F1" s="10"/>
    </row>
    <row r="2" spans="1:6">
      <c r="A2" s="10" t="s">
        <v>69</v>
      </c>
      <c r="B2" s="283">
        <v>38114</v>
      </c>
      <c r="C2" s="10"/>
      <c r="D2" s="10"/>
      <c r="E2" s="9" t="s">
        <v>396</v>
      </c>
      <c r="F2" s="10"/>
    </row>
    <row r="3" spans="1:6">
      <c r="A3" s="10"/>
      <c r="B3" s="10"/>
      <c r="C3" s="175"/>
      <c r="D3" s="175" t="s">
        <v>274</v>
      </c>
      <c r="E3" s="176">
        <v>3.2500000000000001E-2</v>
      </c>
      <c r="F3" s="10"/>
    </row>
    <row r="4" spans="1:6">
      <c r="A4" s="10" t="s">
        <v>83</v>
      </c>
      <c r="B4" s="283">
        <v>38237</v>
      </c>
      <c r="C4" s="10"/>
      <c r="D4" s="175" t="s">
        <v>275</v>
      </c>
      <c r="E4" s="176">
        <v>3.2500000000000001E-2</v>
      </c>
      <c r="F4" s="10"/>
    </row>
    <row r="5" spans="1:6">
      <c r="A5" s="10" t="s">
        <v>148</v>
      </c>
      <c r="B5" s="174">
        <v>38328</v>
      </c>
      <c r="C5" s="10"/>
      <c r="D5" s="10"/>
      <c r="E5" s="10"/>
      <c r="F5" s="10"/>
    </row>
    <row r="6" spans="1:6">
      <c r="A6" s="10"/>
      <c r="B6" s="10"/>
      <c r="C6" s="10"/>
      <c r="D6" s="10"/>
      <c r="E6" s="10"/>
      <c r="F6" s="10"/>
    </row>
    <row r="7" spans="1:6">
      <c r="A7" s="10" t="s">
        <v>17</v>
      </c>
      <c r="B7" s="177">
        <v>20000000</v>
      </c>
      <c r="C7" s="10"/>
      <c r="D7" s="10"/>
      <c r="E7" s="10"/>
      <c r="F7" s="10"/>
    </row>
    <row r="8" spans="1:6">
      <c r="A8" s="9" t="s">
        <v>149</v>
      </c>
      <c r="B8" s="178">
        <v>3.2500000000000001E-2</v>
      </c>
      <c r="C8" s="10"/>
      <c r="D8" s="10"/>
      <c r="E8" s="10"/>
      <c r="F8" s="10"/>
    </row>
    <row r="9" spans="1:6">
      <c r="A9" s="9" t="s">
        <v>406</v>
      </c>
      <c r="B9" s="178">
        <v>0.03</v>
      </c>
      <c r="C9" s="10"/>
      <c r="D9" s="10"/>
      <c r="E9" s="10"/>
      <c r="F9" s="10"/>
    </row>
    <row r="10" spans="1:6">
      <c r="A10" s="70"/>
      <c r="B10" s="10"/>
      <c r="C10" s="10"/>
      <c r="D10" s="10"/>
      <c r="E10" s="10"/>
      <c r="F10" s="10"/>
    </row>
    <row r="11" spans="1:6">
      <c r="A11" s="173" t="s">
        <v>102</v>
      </c>
      <c r="B11" s="10"/>
      <c r="C11" s="10"/>
      <c r="D11" s="10"/>
      <c r="E11" s="10"/>
      <c r="F11" s="10"/>
    </row>
    <row r="12" spans="1:6">
      <c r="A12" s="175" t="s">
        <v>152</v>
      </c>
      <c r="B12" s="10">
        <f>B5-B4</f>
        <v>91</v>
      </c>
      <c r="C12" s="10"/>
      <c r="D12" s="175" t="s">
        <v>151</v>
      </c>
      <c r="E12" s="226">
        <f>((B12+B13)*E4-B13*E3)/B12/(1+B13/360*E3)</f>
        <v>3.2143077905754845E-2</v>
      </c>
      <c r="F12" s="10"/>
    </row>
    <row r="13" spans="1:6">
      <c r="A13" s="175" t="s">
        <v>153</v>
      </c>
      <c r="B13" s="10">
        <f>B4-B2</f>
        <v>123</v>
      </c>
      <c r="C13" s="10"/>
      <c r="D13" s="10"/>
      <c r="E13" s="10"/>
      <c r="F13" s="10"/>
    </row>
    <row r="14" spans="1:6">
      <c r="A14" s="9" t="s">
        <v>154</v>
      </c>
      <c r="B14" s="180">
        <v>0</v>
      </c>
      <c r="C14" s="10"/>
      <c r="D14" s="10"/>
      <c r="E14" s="10"/>
      <c r="F14" s="10"/>
    </row>
    <row r="15" spans="1:6">
      <c r="A15" s="181" t="s">
        <v>155</v>
      </c>
      <c r="B15" s="182">
        <f>B7*(B9-B8)*B12/360/(1+B9*B12/360)</f>
        <v>-12543.765335097742</v>
      </c>
      <c r="C15" s="10"/>
      <c r="D15" s="10"/>
      <c r="E15" s="10"/>
      <c r="F15" s="10"/>
    </row>
    <row r="16" spans="1:6">
      <c r="A16" s="183"/>
      <c r="B16" s="184"/>
      <c r="C16" s="10"/>
      <c r="D16" s="10"/>
      <c r="E16" s="10"/>
      <c r="F16" s="10"/>
    </row>
    <row r="17" spans="1:6">
      <c r="A17" s="10"/>
      <c r="B17" s="10"/>
      <c r="C17" s="10"/>
      <c r="D17" s="10"/>
      <c r="E17" s="10"/>
      <c r="F17" s="10"/>
    </row>
    <row r="18" spans="1:6">
      <c r="A18" s="10"/>
      <c r="B18" s="185">
        <f>B4</f>
        <v>38237</v>
      </c>
      <c r="C18" s="185">
        <f>B5</f>
        <v>38328</v>
      </c>
      <c r="D18" s="10"/>
      <c r="E18" s="10"/>
      <c r="F18" s="10"/>
    </row>
    <row r="19" spans="1:6">
      <c r="A19" s="9" t="s">
        <v>156</v>
      </c>
      <c r="B19" s="180">
        <f>B7</f>
        <v>20000000</v>
      </c>
      <c r="C19" s="180">
        <f>-B19*(1+B12/360*B8)</f>
        <v>-20164305.555555556</v>
      </c>
      <c r="D19" s="10"/>
      <c r="E19" s="10"/>
      <c r="F19" s="10"/>
    </row>
    <row r="20" spans="1:6">
      <c r="A20" s="10"/>
      <c r="B20" s="10"/>
      <c r="C20" s="10"/>
      <c r="D20" s="10"/>
      <c r="E20" s="10"/>
      <c r="F20" s="10"/>
    </row>
    <row r="21" spans="1:6">
      <c r="A21" s="70" t="s">
        <v>145</v>
      </c>
      <c r="B21" s="180">
        <f>B15</f>
        <v>-12543.765335097742</v>
      </c>
      <c r="C21" s="10">
        <v>0</v>
      </c>
      <c r="D21" s="10"/>
      <c r="E21" s="10"/>
      <c r="F21" s="10"/>
    </row>
    <row r="22" spans="1:6">
      <c r="A22" s="9" t="s">
        <v>397</v>
      </c>
      <c r="B22" s="186">
        <f>B7-B21</f>
        <v>20012543.765335098</v>
      </c>
      <c r="C22" s="186">
        <f>-B22*(1+B9/360*B12)</f>
        <v>-20164305.555555556</v>
      </c>
      <c r="D22" s="10"/>
      <c r="E22" s="10"/>
      <c r="F22" s="10"/>
    </row>
    <row r="23" spans="1:6">
      <c r="A23" s="9" t="s">
        <v>157</v>
      </c>
      <c r="B23" s="180">
        <f>B21+B22</f>
        <v>20000000</v>
      </c>
      <c r="C23" s="180">
        <f>C21+C22</f>
        <v>-20164305.555555556</v>
      </c>
      <c r="D23" s="10"/>
      <c r="E23" s="10"/>
      <c r="F23" s="10"/>
    </row>
  </sheetData>
  <phoneticPr fontId="15" type="noConversion"/>
  <printOptions gridLines="1" gridLinesSet="0"/>
  <pageMargins left="0.78740157499999996" right="0.78740157499999996" top="0.984251969" bottom="0.984251969" header="0.51181102300000003" footer="0.51181102300000003"/>
  <pageSetup paperSize="9" orientation="portrait" horizontalDpi="4294967292" verticalDpi="300" r:id="rId1"/>
  <headerFooter alignWithMargins="0">
    <oddHeader>&amp;F</oddHeader>
    <oddFooter>Seite &amp;P</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selection activeCell="A4" sqref="A4"/>
    </sheetView>
  </sheetViews>
  <sheetFormatPr baseColWidth="10" defaultRowHeight="12.75"/>
  <sheetData>
    <row r="1" spans="1:5">
      <c r="A1" s="70" t="s">
        <v>276</v>
      </c>
      <c r="B1" s="70"/>
      <c r="C1" s="70"/>
      <c r="D1" s="70"/>
      <c r="E1" s="70"/>
    </row>
    <row r="2" spans="1:5">
      <c r="A2" s="70"/>
      <c r="B2" s="70"/>
      <c r="C2" s="70"/>
      <c r="D2" s="70"/>
      <c r="E2" s="70"/>
    </row>
  </sheetData>
  <phoneticPr fontId="15" type="noConversion"/>
  <pageMargins left="0.78740157499999996" right="0.78740157499999996" top="0.984251969" bottom="0.984251969" header="0.4921259845" footer="0.4921259845"/>
  <headerFooter alignWithMargins="0">
    <oddHeader>&amp;A</oddHeader>
    <oddFooter>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B4" sqref="B4"/>
    </sheetView>
  </sheetViews>
  <sheetFormatPr baseColWidth="10" defaultRowHeight="12.75"/>
  <cols>
    <col min="3" max="3" width="12.5703125" customWidth="1"/>
    <col min="4" max="4" width="16.28515625" customWidth="1"/>
  </cols>
  <sheetData>
    <row r="1" spans="1:6">
      <c r="A1" s="71" t="s">
        <v>43</v>
      </c>
      <c r="B1" s="70"/>
      <c r="C1" s="70"/>
      <c r="D1" s="70"/>
      <c r="E1" s="70"/>
      <c r="F1" s="70"/>
    </row>
    <row r="2" spans="1:6">
      <c r="A2" s="70"/>
      <c r="B2" s="70"/>
      <c r="C2" s="70"/>
      <c r="D2" s="70"/>
      <c r="E2" s="70"/>
      <c r="F2" s="70"/>
    </row>
    <row r="3" spans="1:6">
      <c r="A3" s="72" t="s">
        <v>28</v>
      </c>
      <c r="B3" s="72" t="s">
        <v>44</v>
      </c>
      <c r="C3" s="70"/>
      <c r="D3" s="70"/>
      <c r="E3" s="70"/>
      <c r="F3" s="70"/>
    </row>
    <row r="4" spans="1:6">
      <c r="A4" s="73" t="s">
        <v>45</v>
      </c>
      <c r="B4" s="2">
        <v>2612</v>
      </c>
      <c r="C4" s="70" t="s">
        <v>46</v>
      </c>
      <c r="D4" s="70"/>
      <c r="E4" s="70"/>
      <c r="F4" s="70"/>
    </row>
    <row r="5" spans="1:6">
      <c r="A5" s="73" t="s">
        <v>47</v>
      </c>
      <c r="B5" s="2">
        <v>2880</v>
      </c>
      <c r="C5" s="70" t="s">
        <v>550</v>
      </c>
      <c r="D5" s="72" t="s">
        <v>48</v>
      </c>
      <c r="E5" s="1">
        <f>B5-B4</f>
        <v>268</v>
      </c>
      <c r="F5" s="70"/>
    </row>
    <row r="6" spans="1:6">
      <c r="A6" s="70"/>
      <c r="B6" s="70"/>
      <c r="C6" s="70"/>
      <c r="D6" s="70"/>
      <c r="E6" s="70"/>
      <c r="F6" s="70"/>
    </row>
  </sheetData>
  <phoneticPr fontId="15"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heetViews>
  <sheetFormatPr baseColWidth="10" defaultRowHeight="12.75"/>
  <cols>
    <col min="1" max="1" width="4.140625" style="11" customWidth="1"/>
    <col min="2" max="2" width="9.42578125" style="11" customWidth="1"/>
    <col min="3" max="3" width="7.5703125" style="11" customWidth="1"/>
    <col min="4" max="4" width="9.42578125" style="11" customWidth="1"/>
    <col min="5" max="5" width="13.7109375" style="11" customWidth="1"/>
    <col min="6" max="6" width="11.7109375" style="11" customWidth="1"/>
    <col min="7" max="7" width="11" style="11" customWidth="1"/>
    <col min="8" max="8" width="10.85546875" style="11" customWidth="1"/>
    <col min="9" max="9" width="11.5703125" style="11" customWidth="1"/>
    <col min="10" max="10" width="9.7109375" style="11" customWidth="1"/>
    <col min="11" max="11" width="5.28515625" style="11" customWidth="1"/>
    <col min="12" max="12" width="11.42578125" style="11"/>
    <col min="13" max="13" width="12.42578125" style="11" customWidth="1"/>
    <col min="14" max="14" width="10.28515625" style="11" customWidth="1"/>
    <col min="15" max="15" width="10.7109375" style="11" customWidth="1"/>
    <col min="16" max="16384" width="11.42578125" style="11"/>
  </cols>
  <sheetData>
    <row r="1" spans="1:17">
      <c r="A1" s="173" t="s">
        <v>564</v>
      </c>
      <c r="B1" s="10"/>
      <c r="C1" s="10"/>
      <c r="D1" s="10"/>
      <c r="E1" s="10"/>
      <c r="F1" s="10"/>
      <c r="G1" s="10"/>
      <c r="H1" s="10"/>
      <c r="I1" s="10"/>
      <c r="J1" s="10"/>
      <c r="K1" s="10"/>
      <c r="L1" s="10"/>
      <c r="M1" s="10"/>
      <c r="N1" s="10"/>
      <c r="O1" s="10"/>
      <c r="P1" s="10"/>
      <c r="Q1" s="10"/>
    </row>
    <row r="2" spans="1:17">
      <c r="A2" s="12" t="s">
        <v>17</v>
      </c>
      <c r="B2" s="13"/>
      <c r="C2" s="13"/>
      <c r="D2" s="14"/>
      <c r="E2" s="15">
        <v>1000000</v>
      </c>
      <c r="F2" s="10"/>
      <c r="G2" s="10"/>
      <c r="H2" s="10"/>
      <c r="I2" s="10"/>
      <c r="J2" s="10"/>
      <c r="K2" s="10"/>
      <c r="L2" s="10"/>
      <c r="M2" s="10"/>
      <c r="N2" s="10"/>
      <c r="O2" s="10"/>
      <c r="P2" s="10"/>
      <c r="Q2" s="10"/>
    </row>
    <row r="3" spans="1:17">
      <c r="A3" s="17" t="s">
        <v>181</v>
      </c>
      <c r="B3" s="13"/>
      <c r="C3" s="13"/>
      <c r="D3" s="14"/>
      <c r="E3" s="193">
        <v>5.0999999999999997E-2</v>
      </c>
      <c r="F3" s="9" t="s">
        <v>398</v>
      </c>
      <c r="G3" s="10"/>
      <c r="H3" s="194">
        <v>0</v>
      </c>
      <c r="I3" s="10"/>
      <c r="J3" s="10"/>
      <c r="K3" s="10"/>
      <c r="L3" s="10"/>
      <c r="M3" s="10"/>
      <c r="N3" s="10"/>
      <c r="O3" s="10"/>
      <c r="P3" s="10"/>
      <c r="Q3" s="10"/>
    </row>
    <row r="4" spans="1:17">
      <c r="A4" s="17" t="s">
        <v>19</v>
      </c>
      <c r="B4" s="13"/>
      <c r="C4" s="13"/>
      <c r="D4" s="14"/>
      <c r="E4" s="18">
        <v>5</v>
      </c>
      <c r="F4" s="10"/>
      <c r="G4" s="10"/>
      <c r="H4" s="10"/>
      <c r="I4" s="10"/>
      <c r="J4" s="10"/>
      <c r="K4" s="10"/>
      <c r="L4" s="10"/>
      <c r="M4" s="10"/>
      <c r="N4" s="10"/>
      <c r="O4" s="10"/>
      <c r="P4" s="10"/>
      <c r="Q4" s="10"/>
    </row>
    <row r="5" spans="1:17">
      <c r="A5" s="17" t="s">
        <v>182</v>
      </c>
      <c r="B5" s="13"/>
      <c r="C5" s="13"/>
      <c r="D5" s="14"/>
      <c r="E5" s="195">
        <f>(1-VLOOKUP($E$4,$A$8:$C$22,3))/$C$23+G3</f>
        <v>4.95128584702616E-2</v>
      </c>
      <c r="F5" s="10"/>
      <c r="G5" s="10"/>
      <c r="H5" s="10"/>
      <c r="I5" s="10"/>
      <c r="J5" s="10"/>
      <c r="K5" s="20"/>
      <c r="L5" s="21" t="s">
        <v>21</v>
      </c>
      <c r="M5" s="10"/>
      <c r="N5" s="10"/>
      <c r="O5" s="10"/>
      <c r="P5" s="10"/>
      <c r="Q5" s="10"/>
    </row>
    <row r="6" spans="1:17">
      <c r="A6" s="21" t="s">
        <v>22</v>
      </c>
      <c r="B6" s="10"/>
      <c r="C6" s="10"/>
      <c r="D6" s="10"/>
      <c r="E6" s="10"/>
      <c r="F6" s="10"/>
      <c r="G6" s="10"/>
      <c r="H6" s="10"/>
      <c r="I6" s="10"/>
      <c r="J6" s="10"/>
      <c r="K6" s="20"/>
      <c r="L6" s="9" t="s">
        <v>183</v>
      </c>
      <c r="M6" s="10"/>
      <c r="N6" s="10"/>
      <c r="O6" s="10"/>
      <c r="P6" s="10"/>
      <c r="Q6" s="10"/>
    </row>
    <row r="7" spans="1:17" ht="49.5" customHeight="1">
      <c r="A7" s="196" t="s">
        <v>29</v>
      </c>
      <c r="B7" s="196" t="s">
        <v>353</v>
      </c>
      <c r="C7" s="196" t="s">
        <v>30</v>
      </c>
      <c r="D7" s="196" t="s">
        <v>184</v>
      </c>
      <c r="E7" s="197" t="s">
        <v>185</v>
      </c>
      <c r="F7" s="198" t="s">
        <v>186</v>
      </c>
      <c r="G7" s="198" t="s">
        <v>408</v>
      </c>
      <c r="H7" s="198" t="s">
        <v>187</v>
      </c>
      <c r="I7" s="198" t="s">
        <v>188</v>
      </c>
      <c r="J7" s="198" t="s">
        <v>189</v>
      </c>
      <c r="K7" s="25" t="s">
        <v>354</v>
      </c>
      <c r="L7" s="197" t="s">
        <v>190</v>
      </c>
      <c r="M7" s="199" t="s">
        <v>10</v>
      </c>
      <c r="N7" s="197" t="s">
        <v>191</v>
      </c>
      <c r="O7" s="199" t="s">
        <v>10</v>
      </c>
      <c r="P7" s="197" t="s">
        <v>40</v>
      </c>
      <c r="Q7" s="10"/>
    </row>
    <row r="8" spans="1:17">
      <c r="A8" s="200">
        <v>1</v>
      </c>
      <c r="B8" s="32">
        <v>0.04</v>
      </c>
      <c r="C8" s="201">
        <f t="shared" ref="C8:C22" si="0">IF(A8=" ","",1/(1+B8)^A8)</f>
        <v>0.96153846153846145</v>
      </c>
      <c r="D8" s="202">
        <f>B8</f>
        <v>0.04</v>
      </c>
      <c r="E8" s="35">
        <f>E2*E3</f>
        <v>51000</v>
      </c>
      <c r="F8" s="35">
        <f t="shared" ref="F8:F22" si="1">IF(A8=" "," ",E8*C8)</f>
        <v>49038.461538461532</v>
      </c>
      <c r="G8" s="35">
        <f>(D8+$H$3)*$E$2</f>
        <v>40000</v>
      </c>
      <c r="H8" s="35">
        <f t="shared" ref="H8:H22" si="2">IF(A8=" "," ",G8*C8)</f>
        <v>38461.538461538461</v>
      </c>
      <c r="I8" s="35">
        <f>-E8+G8</f>
        <v>-11000</v>
      </c>
      <c r="J8" s="35">
        <f t="shared" ref="J8:J22" si="3">IF(A8=" "," ",I8*C8)</f>
        <v>-10576.923076923076</v>
      </c>
      <c r="K8" s="43">
        <f t="shared" ref="K8:K22" si="4">$E$5</f>
        <v>4.95128584702616E-2</v>
      </c>
      <c r="L8" s="35">
        <f t="shared" ref="L8:L22" si="5">IF(A8=" "," ",$E$2*$E$3+IF(A8=$E$4,$E$2,0))</f>
        <v>51000</v>
      </c>
      <c r="M8" s="35">
        <f t="shared" ref="M8:M22" si="6">IF(A8=" ","", L8/(1+B8)^A8)</f>
        <v>49038.461538461539</v>
      </c>
      <c r="N8" s="42">
        <f>E2*(1+B8+H3)</f>
        <v>1040000</v>
      </c>
      <c r="O8" s="35">
        <f>IF(A8=" ","", N8/(1+B8)^A8)</f>
        <v>1000000</v>
      </c>
      <c r="P8" s="35">
        <f t="shared" ref="P8:P22" si="7">IF(A8=" "," ",O8-M8)</f>
        <v>950961.5384615385</v>
      </c>
      <c r="Q8" s="10"/>
    </row>
    <row r="9" spans="1:17">
      <c r="A9" s="200">
        <f t="shared" ref="A9:A22" si="8">IF(A8=" "," ",IF(A8=$E$4," ",A8+1))</f>
        <v>2</v>
      </c>
      <c r="B9" s="32">
        <v>4.2500000000000003E-2</v>
      </c>
      <c r="C9" s="201">
        <f t="shared" si="0"/>
        <v>0.92012720758644884</v>
      </c>
      <c r="D9" s="202">
        <f t="shared" ref="D9:D22" si="9">IF(A9=" "," ",(1+B9)^ A9/(1+B8)^A8-1)</f>
        <v>4.500600961538459E-2</v>
      </c>
      <c r="E9" s="35">
        <f t="shared" ref="E9:E22" si="10">IF(A9=" "," ",E8)</f>
        <v>51000</v>
      </c>
      <c r="F9" s="35">
        <f t="shared" si="1"/>
        <v>46926.487586908894</v>
      </c>
      <c r="G9" s="35">
        <f t="shared" ref="G9:G22" si="11">IF(A9=" "," ",(D9+$H$3)*$E$2)</f>
        <v>45006.009615384588</v>
      </c>
      <c r="H9" s="35">
        <f t="shared" si="2"/>
        <v>41411.253952012688</v>
      </c>
      <c r="I9" s="35">
        <f t="shared" ref="I9:I22" si="12">IF(A9=" "," ",-E9+G9)</f>
        <v>-5993.990384615412</v>
      </c>
      <c r="J9" s="35">
        <f t="shared" si="3"/>
        <v>-5515.2336348962035</v>
      </c>
      <c r="K9" s="43">
        <f t="shared" si="4"/>
        <v>4.95128584702616E-2</v>
      </c>
      <c r="L9" s="35">
        <f t="shared" si="5"/>
        <v>51000</v>
      </c>
      <c r="M9" s="35">
        <f t="shared" si="6"/>
        <v>46926.487586908894</v>
      </c>
      <c r="N9" s="52"/>
      <c r="O9" s="52"/>
      <c r="P9" s="35">
        <f t="shared" si="7"/>
        <v>-46926.487586908894</v>
      </c>
      <c r="Q9" s="10"/>
    </row>
    <row r="10" spans="1:17">
      <c r="A10" s="200">
        <f t="shared" si="8"/>
        <v>3</v>
      </c>
      <c r="B10" s="32">
        <v>4.4999999999999998E-2</v>
      </c>
      <c r="C10" s="201">
        <f t="shared" si="0"/>
        <v>0.87629660405490928</v>
      </c>
      <c r="D10" s="202">
        <f t="shared" si="9"/>
        <v>5.0017999988498207E-2</v>
      </c>
      <c r="E10" s="35">
        <f t="shared" si="10"/>
        <v>51000</v>
      </c>
      <c r="F10" s="35">
        <f t="shared" si="1"/>
        <v>44691.12680680037</v>
      </c>
      <c r="G10" s="35">
        <f t="shared" si="11"/>
        <v>50017.99998849821</v>
      </c>
      <c r="H10" s="35">
        <f t="shared" si="2"/>
        <v>43830.603531539469</v>
      </c>
      <c r="I10" s="35">
        <f t="shared" si="12"/>
        <v>-982.00001150179014</v>
      </c>
      <c r="J10" s="35">
        <f t="shared" si="3"/>
        <v>-860.5232752609005</v>
      </c>
      <c r="K10" s="43">
        <f t="shared" si="4"/>
        <v>4.95128584702616E-2</v>
      </c>
      <c r="L10" s="35">
        <f t="shared" si="5"/>
        <v>51000</v>
      </c>
      <c r="M10" s="35">
        <f t="shared" si="6"/>
        <v>44691.126806800377</v>
      </c>
      <c r="N10" s="52"/>
      <c r="O10" s="52"/>
      <c r="P10" s="35">
        <f t="shared" si="7"/>
        <v>-44691.126806800377</v>
      </c>
      <c r="Q10" s="10"/>
    </row>
    <row r="11" spans="1:17">
      <c r="A11" s="200">
        <f t="shared" si="8"/>
        <v>4</v>
      </c>
      <c r="B11" s="32">
        <v>4.7500000000000001E-2</v>
      </c>
      <c r="C11" s="201">
        <f t="shared" si="0"/>
        <v>0.83058459793567585</v>
      </c>
      <c r="D11" s="202">
        <f t="shared" si="9"/>
        <v>5.503594243481702E-2</v>
      </c>
      <c r="E11" s="35">
        <f t="shared" si="10"/>
        <v>51000</v>
      </c>
      <c r="F11" s="35">
        <f t="shared" si="1"/>
        <v>42359.814494719467</v>
      </c>
      <c r="G11" s="35">
        <f t="shared" si="11"/>
        <v>55035.942434817021</v>
      </c>
      <c r="H11" s="35">
        <f t="shared" si="2"/>
        <v>45712.006119233498</v>
      </c>
      <c r="I11" s="35">
        <f t="shared" si="12"/>
        <v>4035.9424348170214</v>
      </c>
      <c r="J11" s="35">
        <f t="shared" si="3"/>
        <v>3352.1916245140283</v>
      </c>
      <c r="K11" s="43">
        <f t="shared" si="4"/>
        <v>4.95128584702616E-2</v>
      </c>
      <c r="L11" s="35">
        <f t="shared" si="5"/>
        <v>51000</v>
      </c>
      <c r="M11" s="35">
        <f t="shared" si="6"/>
        <v>42359.814494719467</v>
      </c>
      <c r="N11" s="52"/>
      <c r="O11" s="52"/>
      <c r="P11" s="35">
        <f t="shared" si="7"/>
        <v>-42359.814494719467</v>
      </c>
      <c r="Q11" s="10"/>
    </row>
    <row r="12" spans="1:17">
      <c r="A12" s="200">
        <f t="shared" si="8"/>
        <v>5</v>
      </c>
      <c r="B12" s="32">
        <v>0.05</v>
      </c>
      <c r="C12" s="201">
        <f t="shared" si="0"/>
        <v>0.78352616646845896</v>
      </c>
      <c r="D12" s="202">
        <f t="shared" si="9"/>
        <v>6.0059808441778717E-2</v>
      </c>
      <c r="E12" s="35">
        <f t="shared" si="10"/>
        <v>51000</v>
      </c>
      <c r="F12" s="35">
        <f t="shared" si="1"/>
        <v>39959.834489891407</v>
      </c>
      <c r="G12" s="35">
        <f t="shared" si="11"/>
        <v>60059.808441778718</v>
      </c>
      <c r="H12" s="35">
        <f t="shared" si="2"/>
        <v>47058.431467216869</v>
      </c>
      <c r="I12" s="35">
        <f t="shared" si="12"/>
        <v>9059.8084417787177</v>
      </c>
      <c r="J12" s="35">
        <f t="shared" si="3"/>
        <v>7098.596977325461</v>
      </c>
      <c r="K12" s="43">
        <f t="shared" si="4"/>
        <v>4.95128584702616E-2</v>
      </c>
      <c r="L12" s="35">
        <f t="shared" si="5"/>
        <v>1051000</v>
      </c>
      <c r="M12" s="35">
        <f t="shared" si="6"/>
        <v>823486.00095835037</v>
      </c>
      <c r="N12" s="52"/>
      <c r="O12" s="52"/>
      <c r="P12" s="35">
        <f t="shared" si="7"/>
        <v>-823486.00095835037</v>
      </c>
      <c r="Q12" s="10"/>
    </row>
    <row r="13" spans="1:17">
      <c r="A13" s="200" t="str">
        <f t="shared" si="8"/>
        <v xml:space="preserve"> </v>
      </c>
      <c r="B13" s="32">
        <v>5.2499999999999998E-2</v>
      </c>
      <c r="C13" s="201" t="str">
        <f t="shared" si="0"/>
        <v/>
      </c>
      <c r="D13" s="202" t="str">
        <f t="shared" si="9"/>
        <v xml:space="preserve"> </v>
      </c>
      <c r="E13" s="35" t="str">
        <f t="shared" si="10"/>
        <v xml:space="preserve"> </v>
      </c>
      <c r="F13" s="35" t="str">
        <f t="shared" si="1"/>
        <v xml:space="preserve"> </v>
      </c>
      <c r="G13" s="35" t="str">
        <f t="shared" si="11"/>
        <v xml:space="preserve"> </v>
      </c>
      <c r="H13" s="35" t="str">
        <f t="shared" si="2"/>
        <v xml:space="preserve"> </v>
      </c>
      <c r="I13" s="35" t="str">
        <f t="shared" si="12"/>
        <v xml:space="preserve"> </v>
      </c>
      <c r="J13" s="35" t="str">
        <f t="shared" si="3"/>
        <v xml:space="preserve"> </v>
      </c>
      <c r="K13" s="43">
        <f t="shared" si="4"/>
        <v>4.95128584702616E-2</v>
      </c>
      <c r="L13" s="35" t="str">
        <f t="shared" si="5"/>
        <v xml:space="preserve"> </v>
      </c>
      <c r="M13" s="35" t="str">
        <f t="shared" si="6"/>
        <v/>
      </c>
      <c r="N13" s="52"/>
      <c r="O13" s="52"/>
      <c r="P13" s="35" t="str">
        <f t="shared" si="7"/>
        <v xml:space="preserve"> </v>
      </c>
      <c r="Q13" s="10"/>
    </row>
    <row r="14" spans="1:17">
      <c r="A14" s="200" t="str">
        <f t="shared" si="8"/>
        <v xml:space="preserve"> </v>
      </c>
      <c r="B14" s="32">
        <v>5.5E-2</v>
      </c>
      <c r="C14" s="201" t="str">
        <f t="shared" si="0"/>
        <v/>
      </c>
      <c r="D14" s="202" t="str">
        <f t="shared" si="9"/>
        <v xml:space="preserve"> </v>
      </c>
      <c r="E14" s="35" t="str">
        <f t="shared" si="10"/>
        <v xml:space="preserve"> </v>
      </c>
      <c r="F14" s="35" t="str">
        <f t="shared" si="1"/>
        <v xml:space="preserve"> </v>
      </c>
      <c r="G14" s="35" t="str">
        <f t="shared" si="11"/>
        <v xml:space="preserve"> </v>
      </c>
      <c r="H14" s="35" t="str">
        <f t="shared" si="2"/>
        <v xml:space="preserve"> </v>
      </c>
      <c r="I14" s="35" t="str">
        <f t="shared" si="12"/>
        <v xml:space="preserve"> </v>
      </c>
      <c r="J14" s="35" t="str">
        <f t="shared" si="3"/>
        <v xml:space="preserve"> </v>
      </c>
      <c r="K14" s="43">
        <f t="shared" si="4"/>
        <v>4.95128584702616E-2</v>
      </c>
      <c r="L14" s="35" t="str">
        <f t="shared" si="5"/>
        <v xml:space="preserve"> </v>
      </c>
      <c r="M14" s="35" t="str">
        <f t="shared" si="6"/>
        <v/>
      </c>
      <c r="N14" s="52"/>
      <c r="O14" s="52"/>
      <c r="P14" s="35" t="str">
        <f t="shared" si="7"/>
        <v xml:space="preserve"> </v>
      </c>
      <c r="Q14" s="10"/>
    </row>
    <row r="15" spans="1:17">
      <c r="A15" s="200" t="str">
        <f t="shared" si="8"/>
        <v xml:space="preserve"> </v>
      </c>
      <c r="B15" s="32">
        <v>5.7500000000000002E-2</v>
      </c>
      <c r="C15" s="201" t="str">
        <f t="shared" si="0"/>
        <v/>
      </c>
      <c r="D15" s="202" t="str">
        <f t="shared" si="9"/>
        <v xml:space="preserve"> </v>
      </c>
      <c r="E15" s="35" t="str">
        <f t="shared" si="10"/>
        <v xml:space="preserve"> </v>
      </c>
      <c r="F15" s="35" t="str">
        <f t="shared" si="1"/>
        <v xml:space="preserve"> </v>
      </c>
      <c r="G15" s="35" t="str">
        <f t="shared" si="11"/>
        <v xml:space="preserve"> </v>
      </c>
      <c r="H15" s="35" t="str">
        <f t="shared" si="2"/>
        <v xml:space="preserve"> </v>
      </c>
      <c r="I15" s="35" t="str">
        <f t="shared" si="12"/>
        <v xml:space="preserve"> </v>
      </c>
      <c r="J15" s="35" t="str">
        <f t="shared" si="3"/>
        <v xml:space="preserve"> </v>
      </c>
      <c r="K15" s="43">
        <f t="shared" si="4"/>
        <v>4.95128584702616E-2</v>
      </c>
      <c r="L15" s="35" t="str">
        <f t="shared" si="5"/>
        <v xml:space="preserve"> </v>
      </c>
      <c r="M15" s="35" t="str">
        <f t="shared" si="6"/>
        <v/>
      </c>
      <c r="N15" s="52"/>
      <c r="O15" s="52"/>
      <c r="P15" s="35" t="str">
        <f t="shared" si="7"/>
        <v xml:space="preserve"> </v>
      </c>
      <c r="Q15" s="10"/>
    </row>
    <row r="16" spans="1:17">
      <c r="A16" s="200" t="str">
        <f t="shared" si="8"/>
        <v xml:space="preserve"> </v>
      </c>
      <c r="B16" s="32">
        <v>0.06</v>
      </c>
      <c r="C16" s="201" t="str">
        <f t="shared" si="0"/>
        <v/>
      </c>
      <c r="D16" s="202" t="str">
        <f t="shared" si="9"/>
        <v xml:space="preserve"> </v>
      </c>
      <c r="E16" s="35" t="str">
        <f t="shared" si="10"/>
        <v xml:space="preserve"> </v>
      </c>
      <c r="F16" s="35" t="str">
        <f t="shared" si="1"/>
        <v xml:space="preserve"> </v>
      </c>
      <c r="G16" s="35" t="str">
        <f t="shared" si="11"/>
        <v xml:space="preserve"> </v>
      </c>
      <c r="H16" s="35" t="str">
        <f t="shared" si="2"/>
        <v xml:space="preserve"> </v>
      </c>
      <c r="I16" s="35" t="str">
        <f t="shared" si="12"/>
        <v xml:space="preserve"> </v>
      </c>
      <c r="J16" s="35" t="str">
        <f t="shared" si="3"/>
        <v xml:space="preserve"> </v>
      </c>
      <c r="K16" s="43">
        <f t="shared" si="4"/>
        <v>4.95128584702616E-2</v>
      </c>
      <c r="L16" s="35" t="str">
        <f t="shared" si="5"/>
        <v xml:space="preserve"> </v>
      </c>
      <c r="M16" s="35" t="str">
        <f t="shared" si="6"/>
        <v/>
      </c>
      <c r="N16" s="52"/>
      <c r="O16" s="52"/>
      <c r="P16" s="35" t="str">
        <f t="shared" si="7"/>
        <v xml:space="preserve"> </v>
      </c>
      <c r="Q16" s="10"/>
    </row>
    <row r="17" spans="1:17">
      <c r="A17" s="200" t="str">
        <f t="shared" si="8"/>
        <v xml:space="preserve"> </v>
      </c>
      <c r="B17" s="32">
        <v>6.25E-2</v>
      </c>
      <c r="C17" s="201" t="str">
        <f t="shared" si="0"/>
        <v/>
      </c>
      <c r="D17" s="202" t="str">
        <f t="shared" si="9"/>
        <v xml:space="preserve"> </v>
      </c>
      <c r="E17" s="35" t="str">
        <f t="shared" si="10"/>
        <v xml:space="preserve"> </v>
      </c>
      <c r="F17" s="35" t="str">
        <f t="shared" si="1"/>
        <v xml:space="preserve"> </v>
      </c>
      <c r="G17" s="35" t="str">
        <f t="shared" si="11"/>
        <v xml:space="preserve"> </v>
      </c>
      <c r="H17" s="35" t="str">
        <f t="shared" si="2"/>
        <v xml:space="preserve"> </v>
      </c>
      <c r="I17" s="35" t="str">
        <f t="shared" si="12"/>
        <v xml:space="preserve"> </v>
      </c>
      <c r="J17" s="35" t="str">
        <f t="shared" si="3"/>
        <v xml:space="preserve"> </v>
      </c>
      <c r="K17" s="43">
        <f t="shared" si="4"/>
        <v>4.95128584702616E-2</v>
      </c>
      <c r="L17" s="35" t="str">
        <f t="shared" si="5"/>
        <v xml:space="preserve"> </v>
      </c>
      <c r="M17" s="35" t="str">
        <f t="shared" si="6"/>
        <v/>
      </c>
      <c r="N17" s="52"/>
      <c r="O17" s="52"/>
      <c r="P17" s="35" t="str">
        <f t="shared" si="7"/>
        <v xml:space="preserve"> </v>
      </c>
      <c r="Q17" s="10"/>
    </row>
    <row r="18" spans="1:17">
      <c r="A18" s="200" t="str">
        <f t="shared" si="8"/>
        <v xml:space="preserve"> </v>
      </c>
      <c r="B18" s="32"/>
      <c r="C18" s="201" t="str">
        <f t="shared" si="0"/>
        <v/>
      </c>
      <c r="D18" s="203" t="str">
        <f t="shared" si="9"/>
        <v xml:space="preserve"> </v>
      </c>
      <c r="E18" s="35" t="str">
        <f t="shared" si="10"/>
        <v xml:space="preserve"> </v>
      </c>
      <c r="F18" s="35" t="str">
        <f t="shared" si="1"/>
        <v xml:space="preserve"> </v>
      </c>
      <c r="G18" s="35" t="str">
        <f t="shared" si="11"/>
        <v xml:space="preserve"> </v>
      </c>
      <c r="H18" s="35" t="str">
        <f t="shared" si="2"/>
        <v xml:space="preserve"> </v>
      </c>
      <c r="I18" s="35" t="str">
        <f t="shared" si="12"/>
        <v xml:space="preserve"> </v>
      </c>
      <c r="J18" s="35" t="str">
        <f t="shared" si="3"/>
        <v xml:space="preserve"> </v>
      </c>
      <c r="K18" s="43">
        <f t="shared" si="4"/>
        <v>4.95128584702616E-2</v>
      </c>
      <c r="L18" s="35" t="str">
        <f t="shared" si="5"/>
        <v xml:space="preserve"> </v>
      </c>
      <c r="M18" s="35" t="str">
        <f t="shared" si="6"/>
        <v/>
      </c>
      <c r="N18" s="52"/>
      <c r="O18" s="52"/>
      <c r="P18" s="35" t="str">
        <f t="shared" si="7"/>
        <v xml:space="preserve"> </v>
      </c>
      <c r="Q18" s="10"/>
    </row>
    <row r="19" spans="1:17">
      <c r="A19" s="200" t="str">
        <f t="shared" si="8"/>
        <v xml:space="preserve"> </v>
      </c>
      <c r="B19" s="32"/>
      <c r="C19" s="201" t="str">
        <f t="shared" si="0"/>
        <v/>
      </c>
      <c r="D19" s="203" t="str">
        <f t="shared" si="9"/>
        <v xml:space="preserve"> </v>
      </c>
      <c r="E19" s="35" t="str">
        <f t="shared" si="10"/>
        <v xml:space="preserve"> </v>
      </c>
      <c r="F19" s="35" t="str">
        <f t="shared" si="1"/>
        <v xml:space="preserve"> </v>
      </c>
      <c r="G19" s="35" t="str">
        <f t="shared" si="11"/>
        <v xml:space="preserve"> </v>
      </c>
      <c r="H19" s="35" t="str">
        <f t="shared" si="2"/>
        <v xml:space="preserve"> </v>
      </c>
      <c r="I19" s="35" t="str">
        <f t="shared" si="12"/>
        <v xml:space="preserve"> </v>
      </c>
      <c r="J19" s="35" t="str">
        <f t="shared" si="3"/>
        <v xml:space="preserve"> </v>
      </c>
      <c r="K19" s="43">
        <f t="shared" si="4"/>
        <v>4.95128584702616E-2</v>
      </c>
      <c r="L19" s="35" t="str">
        <f t="shared" si="5"/>
        <v xml:space="preserve"> </v>
      </c>
      <c r="M19" s="35" t="str">
        <f t="shared" si="6"/>
        <v/>
      </c>
      <c r="N19" s="52"/>
      <c r="O19" s="52"/>
      <c r="P19" s="35" t="str">
        <f t="shared" si="7"/>
        <v xml:space="preserve"> </v>
      </c>
      <c r="Q19" s="10"/>
    </row>
    <row r="20" spans="1:17">
      <c r="A20" s="200" t="str">
        <f t="shared" si="8"/>
        <v xml:space="preserve"> </v>
      </c>
      <c r="B20" s="32"/>
      <c r="C20" s="201" t="str">
        <f t="shared" si="0"/>
        <v/>
      </c>
      <c r="D20" s="203" t="str">
        <f t="shared" si="9"/>
        <v xml:space="preserve"> </v>
      </c>
      <c r="E20" s="35" t="str">
        <f t="shared" si="10"/>
        <v xml:space="preserve"> </v>
      </c>
      <c r="F20" s="35" t="str">
        <f t="shared" si="1"/>
        <v xml:space="preserve"> </v>
      </c>
      <c r="G20" s="35" t="str">
        <f t="shared" si="11"/>
        <v xml:space="preserve"> </v>
      </c>
      <c r="H20" s="35" t="str">
        <f t="shared" si="2"/>
        <v xml:space="preserve"> </v>
      </c>
      <c r="I20" s="35" t="str">
        <f t="shared" si="12"/>
        <v xml:space="preserve"> </v>
      </c>
      <c r="J20" s="35" t="str">
        <f t="shared" si="3"/>
        <v xml:space="preserve"> </v>
      </c>
      <c r="K20" s="43">
        <f t="shared" si="4"/>
        <v>4.95128584702616E-2</v>
      </c>
      <c r="L20" s="35" t="str">
        <f t="shared" si="5"/>
        <v xml:space="preserve"> </v>
      </c>
      <c r="M20" s="35" t="str">
        <f t="shared" si="6"/>
        <v/>
      </c>
      <c r="N20" s="52"/>
      <c r="O20" s="52"/>
      <c r="P20" s="35" t="str">
        <f t="shared" si="7"/>
        <v xml:space="preserve"> </v>
      </c>
      <c r="Q20" s="10"/>
    </row>
    <row r="21" spans="1:17">
      <c r="A21" s="200" t="str">
        <f t="shared" si="8"/>
        <v xml:space="preserve"> </v>
      </c>
      <c r="B21" s="32"/>
      <c r="C21" s="201" t="str">
        <f t="shared" si="0"/>
        <v/>
      </c>
      <c r="D21" s="203" t="str">
        <f t="shared" si="9"/>
        <v xml:space="preserve"> </v>
      </c>
      <c r="E21" s="35" t="str">
        <f t="shared" si="10"/>
        <v xml:space="preserve"> </v>
      </c>
      <c r="F21" s="35" t="str">
        <f t="shared" si="1"/>
        <v xml:space="preserve"> </v>
      </c>
      <c r="G21" s="35" t="str">
        <f t="shared" si="11"/>
        <v xml:space="preserve"> </v>
      </c>
      <c r="H21" s="35" t="str">
        <f t="shared" si="2"/>
        <v xml:space="preserve"> </v>
      </c>
      <c r="I21" s="35" t="str">
        <f t="shared" si="12"/>
        <v xml:space="preserve"> </v>
      </c>
      <c r="J21" s="35" t="str">
        <f t="shared" si="3"/>
        <v xml:space="preserve"> </v>
      </c>
      <c r="K21" s="43">
        <f t="shared" si="4"/>
        <v>4.95128584702616E-2</v>
      </c>
      <c r="L21" s="35" t="str">
        <f t="shared" si="5"/>
        <v xml:space="preserve"> </v>
      </c>
      <c r="M21" s="35" t="str">
        <f t="shared" si="6"/>
        <v/>
      </c>
      <c r="N21" s="52"/>
      <c r="O21" s="52"/>
      <c r="P21" s="35" t="str">
        <f t="shared" si="7"/>
        <v xml:space="preserve"> </v>
      </c>
      <c r="Q21" s="10"/>
    </row>
    <row r="22" spans="1:17">
      <c r="A22" s="200" t="str">
        <f t="shared" si="8"/>
        <v xml:space="preserve"> </v>
      </c>
      <c r="B22" s="32"/>
      <c r="C22" s="201" t="str">
        <f t="shared" si="0"/>
        <v/>
      </c>
      <c r="D22" s="203" t="str">
        <f t="shared" si="9"/>
        <v xml:space="preserve"> </v>
      </c>
      <c r="E22" s="35" t="str">
        <f t="shared" si="10"/>
        <v xml:space="preserve"> </v>
      </c>
      <c r="F22" s="35" t="str">
        <f t="shared" si="1"/>
        <v xml:space="preserve"> </v>
      </c>
      <c r="G22" s="35" t="str">
        <f t="shared" si="11"/>
        <v xml:space="preserve"> </v>
      </c>
      <c r="H22" s="35" t="str">
        <f t="shared" si="2"/>
        <v xml:space="preserve"> </v>
      </c>
      <c r="I22" s="35" t="str">
        <f t="shared" si="12"/>
        <v xml:space="preserve"> </v>
      </c>
      <c r="J22" s="35" t="str">
        <f t="shared" si="3"/>
        <v xml:space="preserve"> </v>
      </c>
      <c r="K22" s="43">
        <f t="shared" si="4"/>
        <v>4.95128584702616E-2</v>
      </c>
      <c r="L22" s="35" t="str">
        <f t="shared" si="5"/>
        <v xml:space="preserve"> </v>
      </c>
      <c r="M22" s="35" t="str">
        <f t="shared" si="6"/>
        <v/>
      </c>
      <c r="N22" s="52"/>
      <c r="O22" s="52"/>
      <c r="P22" s="35" t="str">
        <f t="shared" si="7"/>
        <v xml:space="preserve"> </v>
      </c>
      <c r="Q22" s="10"/>
    </row>
    <row r="23" spans="1:17">
      <c r="A23" s="59" t="s">
        <v>41</v>
      </c>
      <c r="B23" s="60"/>
      <c r="C23" s="60">
        <f>SUM(C8:C21)</f>
        <v>4.372073037583954</v>
      </c>
      <c r="D23" s="60"/>
      <c r="E23" s="62" t="s">
        <v>42</v>
      </c>
      <c r="F23" s="35">
        <f>SUM(F8:F22)</f>
        <v>222975.72491678165</v>
      </c>
      <c r="G23" s="63"/>
      <c r="H23" s="35">
        <f>SUM(H8:H22)</f>
        <v>216473.83353154099</v>
      </c>
      <c r="I23" s="64"/>
      <c r="J23" s="65">
        <f>SUM(J8:J22)</f>
        <v>-6501.8913852406922</v>
      </c>
      <c r="K23" s="20"/>
      <c r="L23" s="67"/>
      <c r="M23" s="68">
        <f>SUM(M8:M22)</f>
        <v>1006501.8913852407</v>
      </c>
      <c r="N23" s="67"/>
      <c r="O23" s="67"/>
      <c r="P23" s="69">
        <f>SUM(P8:P22)</f>
        <v>-6501.8913852405967</v>
      </c>
      <c r="Q23" s="10"/>
    </row>
    <row r="24" spans="1:17">
      <c r="A24" s="10"/>
      <c r="B24" s="10"/>
      <c r="C24" s="10"/>
      <c r="D24" s="10"/>
      <c r="E24" s="10"/>
      <c r="F24" s="10"/>
      <c r="G24" s="10"/>
      <c r="H24" s="10"/>
      <c r="I24" s="10"/>
      <c r="J24" s="10"/>
      <c r="K24" s="10"/>
      <c r="L24" s="10"/>
      <c r="M24" s="10"/>
      <c r="N24" s="10"/>
      <c r="O24" s="10"/>
      <c r="P24" s="10"/>
      <c r="Q24" s="10"/>
    </row>
  </sheetData>
  <phoneticPr fontId="2" type="noConversion"/>
  <printOptions gridLines="1" gridLinesSet="0"/>
  <pageMargins left="0.78740157499999996" right="0.78740157499999996" top="0.984251969" bottom="0.984251969" header="0.51181102300000003" footer="0.51181102300000003"/>
  <pageSetup paperSize="9" orientation="portrait" horizontalDpi="300" verticalDpi="300" r:id="rId1"/>
  <headerFooter alignWithMargins="0">
    <oddHeader>&amp;F</oddHeader>
    <oddFooter>Seite &amp;P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B3" sqref="B3"/>
    </sheetView>
  </sheetViews>
  <sheetFormatPr baseColWidth="10" defaultRowHeight="12.75"/>
  <cols>
    <col min="1" max="1" width="17.85546875" customWidth="1"/>
  </cols>
  <sheetData>
    <row r="1" spans="1:7">
      <c r="A1" s="70"/>
      <c r="B1" s="70"/>
      <c r="C1" s="70"/>
      <c r="D1" s="70"/>
      <c r="E1" s="70"/>
      <c r="F1" s="70"/>
      <c r="G1" s="70"/>
    </row>
    <row r="2" spans="1:7">
      <c r="A2" s="140" t="s">
        <v>19</v>
      </c>
      <c r="B2" s="140">
        <v>1</v>
      </c>
      <c r="C2" s="140">
        <v>2</v>
      </c>
      <c r="D2" s="140">
        <v>3</v>
      </c>
      <c r="E2" s="140">
        <v>4</v>
      </c>
      <c r="F2" s="140">
        <v>5</v>
      </c>
      <c r="G2" s="70"/>
    </row>
    <row r="3" spans="1:7">
      <c r="A3" s="140" t="s">
        <v>277</v>
      </c>
      <c r="B3" s="284">
        <v>0.04</v>
      </c>
      <c r="C3" s="284">
        <v>4.4999999999999998E-2</v>
      </c>
      <c r="D3" s="284">
        <v>0.05</v>
      </c>
      <c r="E3" s="284">
        <v>5.0999999999999997E-2</v>
      </c>
      <c r="F3" s="284">
        <v>5.5E-2</v>
      </c>
      <c r="G3" s="70"/>
    </row>
    <row r="4" spans="1:7">
      <c r="A4" s="140" t="s">
        <v>278</v>
      </c>
      <c r="B4" s="285">
        <v>0.04</v>
      </c>
      <c r="C4" s="285">
        <v>4.2500000000000003E-2</v>
      </c>
      <c r="D4" s="285">
        <v>4.4999999999999998E-2</v>
      </c>
      <c r="E4" s="285">
        <v>4.7500000000000001E-2</v>
      </c>
      <c r="F4" s="285">
        <v>0.05</v>
      </c>
      <c r="G4" s="70"/>
    </row>
    <row r="5" spans="1:7">
      <c r="A5" s="140" t="s">
        <v>279</v>
      </c>
      <c r="B5" s="140">
        <f>1/(1+B4)</f>
        <v>0.96153846153846145</v>
      </c>
      <c r="C5" s="140">
        <f>1/(1+C4)^C2</f>
        <v>0.92012720758644884</v>
      </c>
      <c r="D5" s="140">
        <f>1/(1+D4)^D2</f>
        <v>0.87629660405490928</v>
      </c>
      <c r="E5" s="140">
        <f>1/(1+E4)^E2</f>
        <v>0.83058459793567585</v>
      </c>
      <c r="F5" s="140">
        <f>1/(1+F4)^F2</f>
        <v>0.78352616646845896</v>
      </c>
      <c r="G5" s="70"/>
    </row>
    <row r="6" spans="1:7">
      <c r="A6" s="70"/>
      <c r="B6" s="70"/>
      <c r="C6" s="70"/>
      <c r="D6" s="70"/>
      <c r="E6" s="70"/>
      <c r="F6" s="70"/>
      <c r="G6" s="70"/>
    </row>
    <row r="7" spans="1:7">
      <c r="A7" s="70"/>
      <c r="B7" s="70"/>
      <c r="C7" s="70"/>
      <c r="D7" s="70"/>
      <c r="E7" s="70"/>
      <c r="F7" s="70"/>
      <c r="G7" s="70"/>
    </row>
    <row r="8" spans="1:7">
      <c r="A8" s="70" t="s">
        <v>17</v>
      </c>
      <c r="B8" s="2">
        <v>100000</v>
      </c>
      <c r="C8" s="70"/>
      <c r="D8" s="70"/>
      <c r="E8" s="70"/>
      <c r="F8" s="70"/>
      <c r="G8" s="70"/>
    </row>
    <row r="9" spans="1:7">
      <c r="A9" s="70" t="s">
        <v>280</v>
      </c>
      <c r="B9" s="6">
        <v>0.06</v>
      </c>
      <c r="C9" s="70"/>
      <c r="D9" s="72" t="s">
        <v>399</v>
      </c>
      <c r="E9" s="227">
        <f>LOOKUP(B10,B2:F2,B3:F3)</f>
        <v>0.05</v>
      </c>
      <c r="F9" s="70"/>
      <c r="G9" s="70"/>
    </row>
    <row r="10" spans="1:7">
      <c r="A10" s="70" t="s">
        <v>281</v>
      </c>
      <c r="B10" s="74">
        <v>3</v>
      </c>
      <c r="C10" s="70" t="s">
        <v>59</v>
      </c>
      <c r="D10" s="70"/>
      <c r="E10" s="70"/>
      <c r="F10" s="70"/>
      <c r="G10" s="70"/>
    </row>
    <row r="11" spans="1:7">
      <c r="A11" s="70"/>
      <c r="B11" s="70"/>
      <c r="C11" s="70"/>
      <c r="D11" s="70"/>
      <c r="E11" s="70"/>
      <c r="F11" s="70"/>
      <c r="G11" s="70"/>
    </row>
    <row r="12" spans="1:7">
      <c r="A12" s="70" t="s">
        <v>282</v>
      </c>
      <c r="B12" s="1">
        <f>(B9-LOOKUP(B10,B2:F2,B3:F3))*B8*SUMIF(B2:F2,"&lt;= "&amp;B10,B5:F5)</f>
        <v>2757.9622731798186</v>
      </c>
      <c r="C12" s="70"/>
      <c r="D12" s="70"/>
      <c r="E12" s="70"/>
      <c r="F12" s="70"/>
      <c r="G12" s="70"/>
    </row>
    <row r="13" spans="1:7">
      <c r="A13" s="70"/>
      <c r="B13" s="70"/>
      <c r="C13" s="70"/>
      <c r="D13" s="70"/>
      <c r="E13" s="70"/>
      <c r="F13" s="70"/>
      <c r="G13" s="70"/>
    </row>
    <row r="14" spans="1:7">
      <c r="A14" s="70"/>
      <c r="B14" s="70"/>
      <c r="C14" s="70"/>
      <c r="D14" s="70"/>
      <c r="E14" s="70"/>
      <c r="F14" s="70"/>
      <c r="G14" s="70"/>
    </row>
    <row r="15" spans="1:7">
      <c r="A15" s="70"/>
      <c r="B15" s="70"/>
      <c r="C15" s="70"/>
      <c r="D15" s="70"/>
      <c r="E15" s="70"/>
      <c r="F15" s="70"/>
      <c r="G15" s="70"/>
    </row>
    <row r="16" spans="1:7">
      <c r="A16" s="70"/>
      <c r="B16" s="70"/>
      <c r="C16" s="70"/>
      <c r="D16" s="70"/>
      <c r="E16" s="70"/>
      <c r="F16" s="70"/>
      <c r="G16" s="70"/>
    </row>
    <row r="17" spans="1:7">
      <c r="A17" s="70"/>
      <c r="B17" s="70"/>
      <c r="C17" s="70"/>
      <c r="D17" s="70"/>
      <c r="E17" s="70"/>
      <c r="F17" s="70"/>
      <c r="G17" s="70"/>
    </row>
    <row r="18" spans="1:7">
      <c r="A18" s="70"/>
      <c r="B18" s="70"/>
      <c r="C18" s="70"/>
      <c r="D18" s="70"/>
      <c r="E18" s="70"/>
      <c r="F18" s="70"/>
      <c r="G18" s="70"/>
    </row>
    <row r="19" spans="1:7">
      <c r="A19" s="70"/>
      <c r="B19" s="70"/>
      <c r="C19" s="70"/>
      <c r="D19" s="70"/>
      <c r="E19" s="70"/>
      <c r="F19" s="70"/>
      <c r="G19" s="70"/>
    </row>
  </sheetData>
  <phoneticPr fontId="15" type="noConversion"/>
  <pageMargins left="0.78740157499999996" right="0.78740157499999996" top="0.984251969" bottom="0.984251969" header="0.4921259845" footer="0.4921259845"/>
  <pageSetup paperSize="9" orientation="portrait" horizontalDpi="300" verticalDpi="300" r:id="rId1"/>
  <headerFooter alignWithMargins="0">
    <oddHeader>&amp;A</oddHeader>
    <oddFooter>Seite &amp;P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A4" sqref="A4"/>
    </sheetView>
  </sheetViews>
  <sheetFormatPr baseColWidth="10" defaultRowHeight="12.75"/>
  <sheetData>
    <row r="1" spans="1:6">
      <c r="A1" s="70" t="s">
        <v>318</v>
      </c>
      <c r="B1" s="70"/>
      <c r="C1" s="70"/>
      <c r="D1" s="70"/>
      <c r="E1" s="70"/>
      <c r="F1" s="70"/>
    </row>
    <row r="2" spans="1:6">
      <c r="A2" s="70" t="s">
        <v>400</v>
      </c>
      <c r="B2" s="70"/>
      <c r="C2" s="70"/>
      <c r="D2" s="70"/>
      <c r="E2" s="70"/>
      <c r="F2" s="70"/>
    </row>
    <row r="3" spans="1:6">
      <c r="A3" s="70"/>
      <c r="B3" s="70"/>
      <c r="C3" s="70"/>
      <c r="D3" s="70"/>
      <c r="E3" s="70"/>
      <c r="F3" s="70"/>
    </row>
    <row r="4" spans="1:6">
      <c r="A4" s="70"/>
      <c r="B4" s="70"/>
      <c r="C4" s="70"/>
      <c r="D4" s="70"/>
      <c r="E4" s="70"/>
      <c r="F4" s="70"/>
    </row>
    <row r="5" spans="1:6">
      <c r="A5" s="70"/>
      <c r="B5" s="70"/>
      <c r="C5" s="70"/>
      <c r="D5" s="70"/>
      <c r="E5" s="70"/>
      <c r="F5" s="70"/>
    </row>
    <row r="6" spans="1:6">
      <c r="A6" s="70"/>
      <c r="B6" s="70"/>
      <c r="C6" s="70"/>
      <c r="D6" s="70"/>
      <c r="E6" s="70"/>
      <c r="F6" s="70"/>
    </row>
  </sheetData>
  <phoneticPr fontId="15" type="noConversion"/>
  <pageMargins left="0.78740157499999996" right="0.78740157499999996" top="0.984251969" bottom="0.984251969" header="0.4921259845" footer="0.4921259845"/>
  <headerFooter alignWithMargins="0"/>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9"/>
  <sheetViews>
    <sheetView workbookViewId="0">
      <selection activeCell="C2" sqref="C2"/>
    </sheetView>
  </sheetViews>
  <sheetFormatPr baseColWidth="10" defaultRowHeight="12.75"/>
  <cols>
    <col min="2" max="2" width="12.28515625" customWidth="1"/>
    <col min="3" max="3" width="16.5703125" customWidth="1"/>
    <col min="4" max="4" width="11.7109375" customWidth="1"/>
    <col min="5" max="5" width="13.5703125" customWidth="1"/>
    <col min="6" max="6" width="15.28515625" customWidth="1"/>
  </cols>
  <sheetData>
    <row r="1" spans="1:8" ht="15.75">
      <c r="A1" s="89" t="s">
        <v>371</v>
      </c>
      <c r="B1" s="90"/>
      <c r="C1" s="90"/>
      <c r="D1" s="90"/>
      <c r="E1" s="90"/>
      <c r="F1" s="90"/>
      <c r="G1" s="92" t="s">
        <v>388</v>
      </c>
      <c r="H1" s="90"/>
    </row>
    <row r="2" spans="1:8">
      <c r="A2" s="93" t="s">
        <v>69</v>
      </c>
      <c r="B2" s="94"/>
      <c r="C2" s="313">
        <v>38677</v>
      </c>
      <c r="D2" s="90"/>
      <c r="E2" s="90"/>
      <c r="F2" s="90"/>
      <c r="G2" s="313">
        <v>38677</v>
      </c>
      <c r="H2" s="90"/>
    </row>
    <row r="3" spans="1:8">
      <c r="A3" s="93" t="s">
        <v>70</v>
      </c>
      <c r="B3" s="94"/>
      <c r="C3" s="95">
        <v>38677</v>
      </c>
      <c r="D3" s="92" t="s">
        <v>71</v>
      </c>
      <c r="E3" s="90"/>
      <c r="F3" s="90"/>
      <c r="G3" s="95">
        <v>38677</v>
      </c>
      <c r="H3" s="92"/>
    </row>
    <row r="4" spans="1:8">
      <c r="A4" s="93" t="s">
        <v>370</v>
      </c>
      <c r="B4" s="96"/>
      <c r="C4" s="97">
        <v>0.03</v>
      </c>
      <c r="D4" s="90"/>
      <c r="E4" s="90"/>
      <c r="F4" s="90"/>
      <c r="G4" s="97">
        <v>0.03</v>
      </c>
      <c r="H4" s="90"/>
    </row>
    <row r="5" spans="1:8">
      <c r="A5" s="92"/>
      <c r="B5" s="90"/>
      <c r="C5" s="90"/>
      <c r="D5" s="90"/>
      <c r="E5" s="90"/>
      <c r="F5" s="90"/>
      <c r="G5" s="90"/>
      <c r="H5" s="90"/>
    </row>
    <row r="6" spans="1:8">
      <c r="A6" s="98" t="s">
        <v>72</v>
      </c>
      <c r="B6" s="94"/>
      <c r="C6" s="99" t="s">
        <v>389</v>
      </c>
      <c r="D6" s="90"/>
      <c r="E6" s="90"/>
      <c r="F6" s="90"/>
      <c r="G6" s="99" t="s">
        <v>390</v>
      </c>
      <c r="H6" s="90"/>
    </row>
    <row r="7" spans="1:8">
      <c r="A7" s="93" t="s">
        <v>73</v>
      </c>
      <c r="B7" s="94"/>
      <c r="C7" s="100">
        <v>105</v>
      </c>
      <c r="D7" s="92"/>
      <c r="E7" s="90"/>
      <c r="F7" s="90"/>
      <c r="G7" s="100">
        <v>99</v>
      </c>
      <c r="H7" s="90"/>
    </row>
    <row r="8" spans="1:8">
      <c r="A8" s="93" t="s">
        <v>74</v>
      </c>
      <c r="B8" s="94"/>
      <c r="C8" s="101">
        <v>7.0000000000000007E-2</v>
      </c>
      <c r="D8" s="90"/>
      <c r="E8" s="90"/>
      <c r="F8" s="90"/>
      <c r="G8" s="101">
        <v>0.05</v>
      </c>
      <c r="H8" s="90"/>
    </row>
    <row r="9" spans="1:8">
      <c r="A9" s="93" t="s">
        <v>75</v>
      </c>
      <c r="B9" s="94"/>
      <c r="C9" s="352">
        <v>38404</v>
      </c>
      <c r="D9" s="92"/>
      <c r="E9" s="90"/>
      <c r="F9" s="90"/>
      <c r="G9" s="352">
        <v>38372</v>
      </c>
      <c r="H9" s="92"/>
    </row>
    <row r="10" spans="1:8">
      <c r="A10" s="93" t="s">
        <v>76</v>
      </c>
      <c r="B10" s="94"/>
      <c r="C10" s="95">
        <v>38769</v>
      </c>
      <c r="D10" s="90"/>
      <c r="E10" s="90"/>
      <c r="F10" s="90"/>
      <c r="G10" s="95">
        <v>38737</v>
      </c>
      <c r="H10" s="90"/>
    </row>
    <row r="11" spans="1:8">
      <c r="A11" s="93" t="s">
        <v>77</v>
      </c>
      <c r="B11" s="94"/>
      <c r="C11" s="95">
        <v>42056</v>
      </c>
      <c r="D11" s="90"/>
      <c r="E11" s="90"/>
      <c r="F11" s="90"/>
      <c r="G11" s="95">
        <v>42024</v>
      </c>
      <c r="H11" s="90"/>
    </row>
    <row r="12" spans="1:8">
      <c r="A12" s="90"/>
      <c r="B12" s="90"/>
      <c r="C12" s="90"/>
      <c r="D12" s="90"/>
      <c r="E12" s="90"/>
      <c r="F12" s="90"/>
      <c r="G12" s="90"/>
      <c r="H12" s="90"/>
    </row>
    <row r="13" spans="1:8">
      <c r="A13" s="98" t="s">
        <v>78</v>
      </c>
      <c r="B13" s="94"/>
      <c r="C13" s="102">
        <f>C4*(C3-C2)/360*(C7+100*C8*YEARFRAC(C9,C2,1))</f>
        <v>0</v>
      </c>
      <c r="D13" s="103"/>
      <c r="E13" s="90"/>
      <c r="F13" s="90"/>
      <c r="G13" s="90"/>
      <c r="H13" s="90"/>
    </row>
    <row r="14" spans="1:8">
      <c r="A14" s="98" t="s">
        <v>79</v>
      </c>
      <c r="B14" s="94"/>
      <c r="C14" s="102">
        <f>C8*100*YEARFRAC(C2,C3,1)</f>
        <v>0</v>
      </c>
      <c r="D14" s="90"/>
      <c r="E14" s="90"/>
      <c r="F14" s="90"/>
      <c r="G14" s="90"/>
      <c r="H14" s="90"/>
    </row>
    <row r="15" spans="1:8">
      <c r="A15" s="98" t="s">
        <v>314</v>
      </c>
      <c r="B15" s="96"/>
      <c r="C15" s="348">
        <f>C7+C13-C14</f>
        <v>105</v>
      </c>
      <c r="D15" s="92"/>
      <c r="E15" s="90"/>
      <c r="F15" s="90"/>
      <c r="G15" s="90"/>
      <c r="H15" s="90"/>
    </row>
    <row r="16" spans="1:8">
      <c r="A16" s="98" t="s">
        <v>366</v>
      </c>
      <c r="B16" s="94"/>
      <c r="C16" s="102">
        <f>(F32-E26)/E20</f>
        <v>1.0690688922605363</v>
      </c>
      <c r="D16" s="92"/>
      <c r="E16" s="90"/>
      <c r="F16" s="90"/>
      <c r="G16" s="90"/>
      <c r="H16" s="90"/>
    </row>
    <row r="17" spans="1:8">
      <c r="A17" s="98" t="s">
        <v>80</v>
      </c>
      <c r="B17" s="94"/>
      <c r="C17" s="348">
        <f>C15/C16</f>
        <v>98.216308378385676</v>
      </c>
      <c r="D17" s="90"/>
      <c r="E17" s="92"/>
      <c r="F17" s="90"/>
      <c r="G17" s="90"/>
      <c r="H17" s="90"/>
    </row>
    <row r="18" spans="1:8">
      <c r="A18" s="91"/>
      <c r="B18" s="90"/>
      <c r="C18" s="105"/>
      <c r="D18" s="90"/>
      <c r="E18" s="92"/>
      <c r="F18" s="90"/>
      <c r="G18" s="90"/>
      <c r="H18" s="90"/>
    </row>
    <row r="19" spans="1:8">
      <c r="A19" s="91" t="s">
        <v>373</v>
      </c>
      <c r="B19" s="90"/>
      <c r="C19" s="90"/>
      <c r="D19" s="90"/>
      <c r="E19" s="90"/>
      <c r="F19" s="90"/>
      <c r="G19" s="90"/>
      <c r="H19" s="90"/>
    </row>
    <row r="20" spans="1:8">
      <c r="A20" s="93" t="s">
        <v>81</v>
      </c>
      <c r="B20" s="94"/>
      <c r="C20" s="106">
        <f>C3</f>
        <v>38677</v>
      </c>
      <c r="D20" s="107" t="s">
        <v>1</v>
      </c>
      <c r="E20" s="108">
        <v>100</v>
      </c>
      <c r="F20" s="90"/>
      <c r="G20" s="90"/>
      <c r="H20" s="90"/>
    </row>
    <row r="21" spans="1:8">
      <c r="A21" s="93" t="s">
        <v>82</v>
      </c>
      <c r="B21" s="94"/>
      <c r="C21" s="109">
        <f>C7</f>
        <v>105</v>
      </c>
      <c r="D21" s="107"/>
      <c r="E21" s="110"/>
      <c r="F21" s="90"/>
      <c r="G21" s="90"/>
      <c r="H21" s="90"/>
    </row>
    <row r="22" spans="1:8">
      <c r="A22" s="111" t="s">
        <v>11</v>
      </c>
      <c r="B22" s="112"/>
      <c r="C22" s="113">
        <f>C8</f>
        <v>7.0000000000000007E-2</v>
      </c>
      <c r="D22" s="90"/>
      <c r="E22" s="92"/>
      <c r="F22" s="90"/>
      <c r="G22" s="90"/>
      <c r="H22" s="90"/>
    </row>
    <row r="23" spans="1:8">
      <c r="A23" s="93" t="s">
        <v>83</v>
      </c>
      <c r="B23" s="94"/>
      <c r="C23" s="106">
        <f>C9</f>
        <v>38404</v>
      </c>
      <c r="D23" s="114"/>
      <c r="E23" s="115"/>
      <c r="F23" s="90"/>
      <c r="G23" s="92"/>
      <c r="H23" s="90"/>
    </row>
    <row r="24" spans="1:8">
      <c r="A24" s="93" t="s">
        <v>76</v>
      </c>
      <c r="B24" s="94"/>
      <c r="C24" s="106">
        <f>C10</f>
        <v>38769</v>
      </c>
      <c r="D24" s="90"/>
      <c r="E24" s="92"/>
      <c r="F24" s="90"/>
      <c r="G24" s="92"/>
      <c r="H24" s="90"/>
    </row>
    <row r="25" spans="1:8">
      <c r="A25" s="93" t="s">
        <v>3</v>
      </c>
      <c r="B25" s="94"/>
      <c r="C25" s="116">
        <v>1</v>
      </c>
      <c r="D25" s="117" t="s">
        <v>84</v>
      </c>
      <c r="E25" s="118">
        <f>E20*C21/100</f>
        <v>105</v>
      </c>
      <c r="F25" s="90"/>
      <c r="G25" s="90"/>
      <c r="H25" s="90"/>
    </row>
    <row r="26" spans="1:8">
      <c r="A26" s="93" t="s">
        <v>77</v>
      </c>
      <c r="B26" s="94"/>
      <c r="C26" s="106">
        <f>C11</f>
        <v>42056</v>
      </c>
      <c r="D26" s="119" t="s">
        <v>85</v>
      </c>
      <c r="E26" s="118">
        <f>C22*E20*(C20-C23)/(C24-C23)/C25</f>
        <v>5.235616438356165</v>
      </c>
      <c r="F26" s="92" t="s">
        <v>86</v>
      </c>
      <c r="G26" s="90"/>
      <c r="H26" s="92"/>
    </row>
    <row r="27" spans="1:8">
      <c r="A27" s="93" t="s">
        <v>87</v>
      </c>
      <c r="B27" s="94"/>
      <c r="C27" s="104">
        <v>100</v>
      </c>
      <c r="D27" s="120"/>
      <c r="E27" s="121"/>
      <c r="F27" s="119"/>
      <c r="G27" s="122"/>
      <c r="H27" s="92"/>
    </row>
    <row r="28" spans="1:8">
      <c r="A28" s="123"/>
      <c r="B28" s="124"/>
      <c r="C28" s="124"/>
      <c r="D28" s="119" t="s">
        <v>88</v>
      </c>
      <c r="E28" s="118">
        <f>E25+E26</f>
        <v>110.23561643835616</v>
      </c>
      <c r="F28" s="92"/>
      <c r="G28" s="92"/>
      <c r="H28" s="90"/>
    </row>
    <row r="29" spans="1:8">
      <c r="A29" s="123"/>
      <c r="B29" s="124"/>
      <c r="C29" s="124"/>
      <c r="D29" s="90"/>
      <c r="E29" s="125"/>
      <c r="F29" s="124"/>
      <c r="G29" s="124"/>
      <c r="H29" s="90"/>
    </row>
    <row r="30" spans="1:8">
      <c r="A30" s="91" t="s">
        <v>89</v>
      </c>
      <c r="B30" s="90"/>
      <c r="C30" s="90"/>
      <c r="D30" s="90"/>
      <c r="E30" s="125"/>
      <c r="F30" s="124"/>
      <c r="G30" s="124"/>
      <c r="H30" s="90"/>
    </row>
    <row r="31" spans="1:8" ht="38.25">
      <c r="A31" s="126" t="s">
        <v>28</v>
      </c>
      <c r="B31" s="127" t="s">
        <v>90</v>
      </c>
      <c r="C31" s="127" t="s">
        <v>374</v>
      </c>
      <c r="D31" s="128" t="s">
        <v>372</v>
      </c>
      <c r="E31" s="129"/>
      <c r="F31" s="124"/>
      <c r="G31" s="124"/>
      <c r="H31" s="90"/>
    </row>
    <row r="32" spans="1:8">
      <c r="A32" s="130">
        <f>C20</f>
        <v>38677</v>
      </c>
      <c r="B32" s="131"/>
      <c r="C32" s="132">
        <f>IF(A32="",0,YEARFRAC(MIN($A$32:$A$41),A32,4))</f>
        <v>0</v>
      </c>
      <c r="D32" s="133"/>
      <c r="E32" s="116" t="s">
        <v>91</v>
      </c>
      <c r="F32" s="138">
        <f>SUM(D33:D66)</f>
        <v>112.14250566440978</v>
      </c>
      <c r="G32" s="124"/>
      <c r="H32" s="90"/>
    </row>
    <row r="33" spans="1:8">
      <c r="A33" s="134">
        <f>C24</f>
        <v>38769</v>
      </c>
      <c r="B33" s="135">
        <f>$E$20*$C$22*YEARFRAC(C23,C24,4)+IF(A33=C26,$E$20*C27/100,0)</f>
        <v>7.0000000000000009</v>
      </c>
      <c r="C33" s="136">
        <f>IF(A33=" ",0,(A33-A32)/(C24-C23)/C25)</f>
        <v>0.25205479452054796</v>
      </c>
      <c r="D33" s="104">
        <f t="shared" ref="D33:D66" si="0">IF(A33=" ","",B33/1.06^C33)</f>
        <v>6.8979425873332909</v>
      </c>
      <c r="E33" s="125"/>
      <c r="F33" s="124"/>
      <c r="G33" s="124"/>
      <c r="H33" s="90"/>
    </row>
    <row r="34" spans="1:8">
      <c r="A34" s="130">
        <f t="shared" ref="A34:A66" si="1">IF(A33=" "," ",IF(EDATE(A33,12/$C$25)&gt;$C$26," ",EDATE(A33,12/$C$25)))</f>
        <v>39134</v>
      </c>
      <c r="B34" s="131">
        <f t="shared" ref="B34:B66" si="2">IF(A34=" "," ",$E$20*$C$22/$C$25+IF(A34=$C$26,$C$27*$E$20/100,0))</f>
        <v>7.0000000000000009</v>
      </c>
      <c r="C34" s="132">
        <f t="shared" ref="C34:C41" si="3">IF(A34=" "," ",C33+1)</f>
        <v>1.252054794520548</v>
      </c>
      <c r="D34" s="104">
        <f t="shared" si="0"/>
        <v>6.5074930069181987</v>
      </c>
      <c r="E34" s="92" t="s">
        <v>367</v>
      </c>
      <c r="F34" s="90"/>
      <c r="G34" s="124"/>
      <c r="H34" s="90"/>
    </row>
    <row r="35" spans="1:8">
      <c r="A35" s="130">
        <f t="shared" si="1"/>
        <v>39499</v>
      </c>
      <c r="B35" s="131">
        <f t="shared" si="2"/>
        <v>7.0000000000000009</v>
      </c>
      <c r="C35" s="132">
        <f t="shared" si="3"/>
        <v>2.2520547945205482</v>
      </c>
      <c r="D35" s="104">
        <f t="shared" si="0"/>
        <v>6.1391443461492434</v>
      </c>
      <c r="E35" s="339"/>
      <c r="F35" s="340" t="s">
        <v>368</v>
      </c>
      <c r="G35" s="90"/>
      <c r="H35" s="90"/>
    </row>
    <row r="36" spans="1:8">
      <c r="A36" s="130">
        <f t="shared" si="1"/>
        <v>39865</v>
      </c>
      <c r="B36" s="131">
        <f t="shared" si="2"/>
        <v>7.0000000000000009</v>
      </c>
      <c r="C36" s="132">
        <f t="shared" si="3"/>
        <v>3.2520547945205482</v>
      </c>
      <c r="D36" s="104">
        <f t="shared" si="0"/>
        <v>5.7916456095747586</v>
      </c>
      <c r="E36" s="118"/>
      <c r="F36" s="92" t="s">
        <v>1</v>
      </c>
      <c r="G36" s="90"/>
      <c r="H36" s="90"/>
    </row>
    <row r="37" spans="1:8">
      <c r="A37" s="130">
        <f t="shared" si="1"/>
        <v>40230</v>
      </c>
      <c r="B37" s="131">
        <f t="shared" si="2"/>
        <v>7.0000000000000009</v>
      </c>
      <c r="C37" s="132">
        <f t="shared" si="3"/>
        <v>4.2520547945205482</v>
      </c>
      <c r="D37" s="104">
        <f t="shared" si="0"/>
        <v>5.4638166128063759</v>
      </c>
      <c r="E37" s="344" t="s">
        <v>369</v>
      </c>
      <c r="F37" s="347">
        <f>(F32-E26)/E20</f>
        <v>1.0690688922605363</v>
      </c>
      <c r="G37" s="90"/>
      <c r="H37" s="90"/>
    </row>
    <row r="38" spans="1:8">
      <c r="A38" s="130">
        <f t="shared" si="1"/>
        <v>40595</v>
      </c>
      <c r="B38" s="131">
        <f t="shared" si="2"/>
        <v>7.0000000000000009</v>
      </c>
      <c r="C38" s="132">
        <f t="shared" si="3"/>
        <v>5.2520547945205482</v>
      </c>
      <c r="D38" s="104">
        <f t="shared" si="0"/>
        <v>5.1545439743456374</v>
      </c>
      <c r="E38" s="90"/>
      <c r="F38" s="90"/>
      <c r="G38" s="90"/>
      <c r="H38" s="90"/>
    </row>
    <row r="39" spans="1:8">
      <c r="A39" s="130">
        <f t="shared" si="1"/>
        <v>40960</v>
      </c>
      <c r="B39" s="131">
        <f t="shared" si="2"/>
        <v>7.0000000000000009</v>
      </c>
      <c r="C39" s="132">
        <f t="shared" si="3"/>
        <v>6.2520547945205482</v>
      </c>
      <c r="D39" s="104">
        <f t="shared" si="0"/>
        <v>4.862777334288336</v>
      </c>
      <c r="E39" s="350" t="s">
        <v>377</v>
      </c>
      <c r="F39" s="90"/>
      <c r="G39" s="90"/>
      <c r="H39" s="90"/>
    </row>
    <row r="40" spans="1:8" s="346" customFormat="1">
      <c r="A40" s="341">
        <f t="shared" si="1"/>
        <v>41326</v>
      </c>
      <c r="B40" s="342">
        <f t="shared" si="2"/>
        <v>7.0000000000000009</v>
      </c>
      <c r="C40" s="132">
        <f t="shared" si="3"/>
        <v>7.2520547945205482</v>
      </c>
      <c r="D40" s="343">
        <f t="shared" si="0"/>
        <v>4.587525787064469</v>
      </c>
      <c r="E40" s="350" t="s">
        <v>376</v>
      </c>
      <c r="F40" s="90"/>
      <c r="G40" s="345"/>
      <c r="H40" s="345"/>
    </row>
    <row r="41" spans="1:8">
      <c r="A41" s="130">
        <f t="shared" si="1"/>
        <v>41691</v>
      </c>
      <c r="B41" s="131">
        <f t="shared" si="2"/>
        <v>7.0000000000000009</v>
      </c>
      <c r="C41" s="132">
        <f t="shared" si="3"/>
        <v>8.2520547945205482</v>
      </c>
      <c r="D41" s="104">
        <f t="shared" si="0"/>
        <v>4.3278545160985553</v>
      </c>
      <c r="E41" s="90"/>
      <c r="F41" s="90"/>
      <c r="G41" s="90"/>
      <c r="H41" s="90"/>
    </row>
    <row r="42" spans="1:8">
      <c r="A42" s="130">
        <f t="shared" si="1"/>
        <v>42056</v>
      </c>
      <c r="B42" s="131">
        <f t="shared" si="2"/>
        <v>107</v>
      </c>
      <c r="C42" s="132">
        <f t="shared" ref="C42:C66" si="4">IF(A42=" "," ",C41+YEARFRAC(A41,A42,1))</f>
        <v>9.2520547945205482</v>
      </c>
      <c r="D42" s="104">
        <f t="shared" si="0"/>
        <v>62.409761889830911</v>
      </c>
      <c r="E42" s="90"/>
      <c r="F42" s="90"/>
      <c r="G42" s="90"/>
      <c r="H42" s="90"/>
    </row>
    <row r="43" spans="1:8">
      <c r="A43" s="130" t="str">
        <f t="shared" si="1"/>
        <v xml:space="preserve"> </v>
      </c>
      <c r="B43" s="131" t="str">
        <f t="shared" si="2"/>
        <v xml:space="preserve"> </v>
      </c>
      <c r="C43" s="132" t="str">
        <f t="shared" si="4"/>
        <v xml:space="preserve"> </v>
      </c>
      <c r="D43" s="104" t="str">
        <f t="shared" si="0"/>
        <v/>
      </c>
      <c r="E43" s="92"/>
      <c r="F43" s="90"/>
      <c r="G43" s="90"/>
      <c r="H43" s="90"/>
    </row>
    <row r="44" spans="1:8">
      <c r="A44" s="130" t="str">
        <f t="shared" si="1"/>
        <v xml:space="preserve"> </v>
      </c>
      <c r="B44" s="131" t="str">
        <f t="shared" si="2"/>
        <v xml:space="preserve"> </v>
      </c>
      <c r="C44" s="132" t="str">
        <f t="shared" si="4"/>
        <v xml:space="preserve"> </v>
      </c>
      <c r="D44" s="104" t="str">
        <f t="shared" si="0"/>
        <v/>
      </c>
      <c r="E44" s="92"/>
      <c r="F44" s="90"/>
      <c r="G44" s="90"/>
      <c r="H44" s="90"/>
    </row>
    <row r="45" spans="1:8">
      <c r="A45" s="130" t="str">
        <f t="shared" si="1"/>
        <v xml:space="preserve"> </v>
      </c>
      <c r="B45" s="131" t="str">
        <f t="shared" si="2"/>
        <v xml:space="preserve"> </v>
      </c>
      <c r="C45" s="132" t="str">
        <f t="shared" si="4"/>
        <v xml:space="preserve"> </v>
      </c>
      <c r="D45" s="104" t="str">
        <f t="shared" si="0"/>
        <v/>
      </c>
      <c r="E45" s="92"/>
      <c r="F45" s="90"/>
      <c r="G45" s="90"/>
      <c r="H45" s="90"/>
    </row>
    <row r="46" spans="1:8">
      <c r="A46" s="130" t="str">
        <f t="shared" si="1"/>
        <v xml:space="preserve"> </v>
      </c>
      <c r="B46" s="131" t="str">
        <f t="shared" si="2"/>
        <v xml:space="preserve"> </v>
      </c>
      <c r="C46" s="132" t="str">
        <f t="shared" si="4"/>
        <v xml:space="preserve"> </v>
      </c>
      <c r="D46" s="104" t="str">
        <f t="shared" si="0"/>
        <v/>
      </c>
      <c r="E46" s="90"/>
      <c r="F46" s="90"/>
      <c r="G46" s="90"/>
      <c r="H46" s="90"/>
    </row>
    <row r="47" spans="1:8">
      <c r="A47" s="130" t="str">
        <f t="shared" si="1"/>
        <v xml:space="preserve"> </v>
      </c>
      <c r="B47" s="131" t="str">
        <f t="shared" si="2"/>
        <v xml:space="preserve"> </v>
      </c>
      <c r="C47" s="132" t="str">
        <f t="shared" si="4"/>
        <v xml:space="preserve"> </v>
      </c>
      <c r="D47" s="104" t="str">
        <f t="shared" si="0"/>
        <v/>
      </c>
      <c r="E47" s="90"/>
      <c r="F47" s="90"/>
      <c r="G47" s="90"/>
      <c r="H47" s="90"/>
    </row>
    <row r="48" spans="1:8">
      <c r="A48" s="130" t="str">
        <f t="shared" si="1"/>
        <v xml:space="preserve"> </v>
      </c>
      <c r="B48" s="131" t="str">
        <f t="shared" si="2"/>
        <v xml:space="preserve"> </v>
      </c>
      <c r="C48" s="132" t="str">
        <f t="shared" si="4"/>
        <v xml:space="preserve"> </v>
      </c>
      <c r="D48" s="104" t="str">
        <f t="shared" si="0"/>
        <v/>
      </c>
      <c r="E48" s="90"/>
      <c r="F48" s="90"/>
      <c r="G48" s="90"/>
      <c r="H48" s="90"/>
    </row>
    <row r="49" spans="1:8">
      <c r="A49" s="130" t="str">
        <f t="shared" si="1"/>
        <v xml:space="preserve"> </v>
      </c>
      <c r="B49" s="131" t="str">
        <f t="shared" si="2"/>
        <v xml:space="preserve"> </v>
      </c>
      <c r="C49" s="132" t="str">
        <f t="shared" si="4"/>
        <v xml:space="preserve"> </v>
      </c>
      <c r="D49" s="104" t="str">
        <f t="shared" si="0"/>
        <v/>
      </c>
      <c r="E49" s="90"/>
      <c r="F49" s="90"/>
      <c r="G49" s="90"/>
      <c r="H49" s="90"/>
    </row>
    <row r="50" spans="1:8">
      <c r="A50" s="130" t="str">
        <f t="shared" si="1"/>
        <v xml:space="preserve"> </v>
      </c>
      <c r="B50" s="131" t="str">
        <f t="shared" si="2"/>
        <v xml:space="preserve"> </v>
      </c>
      <c r="C50" s="132" t="str">
        <f t="shared" si="4"/>
        <v xml:space="preserve"> </v>
      </c>
      <c r="D50" s="104" t="str">
        <f t="shared" si="0"/>
        <v/>
      </c>
      <c r="E50" s="90"/>
      <c r="F50" s="90"/>
      <c r="G50" s="90"/>
      <c r="H50" s="90"/>
    </row>
    <row r="51" spans="1:8">
      <c r="A51" s="130" t="str">
        <f t="shared" si="1"/>
        <v xml:space="preserve"> </v>
      </c>
      <c r="B51" s="131" t="str">
        <f t="shared" si="2"/>
        <v xml:space="preserve"> </v>
      </c>
      <c r="C51" s="132" t="str">
        <f t="shared" si="4"/>
        <v xml:space="preserve"> </v>
      </c>
      <c r="D51" s="104" t="str">
        <f t="shared" si="0"/>
        <v/>
      </c>
      <c r="E51" s="90"/>
      <c r="F51" s="90"/>
      <c r="G51" s="90"/>
      <c r="H51" s="90"/>
    </row>
    <row r="52" spans="1:8">
      <c r="A52" s="130" t="str">
        <f t="shared" si="1"/>
        <v xml:space="preserve"> </v>
      </c>
      <c r="B52" s="131" t="str">
        <f t="shared" si="2"/>
        <v xml:space="preserve"> </v>
      </c>
      <c r="C52" s="132" t="str">
        <f t="shared" si="4"/>
        <v xml:space="preserve"> </v>
      </c>
      <c r="D52" s="104" t="str">
        <f t="shared" si="0"/>
        <v/>
      </c>
      <c r="E52" s="90"/>
      <c r="F52" s="90"/>
      <c r="G52" s="90"/>
      <c r="H52" s="90"/>
    </row>
    <row r="53" spans="1:8">
      <c r="A53" s="130" t="str">
        <f t="shared" si="1"/>
        <v xml:space="preserve"> </v>
      </c>
      <c r="B53" s="131" t="str">
        <f t="shared" si="2"/>
        <v xml:space="preserve"> </v>
      </c>
      <c r="C53" s="132" t="str">
        <f t="shared" si="4"/>
        <v xml:space="preserve"> </v>
      </c>
      <c r="D53" s="104" t="str">
        <f t="shared" si="0"/>
        <v/>
      </c>
      <c r="E53" s="90"/>
      <c r="F53" s="90"/>
      <c r="G53" s="90"/>
      <c r="H53" s="90"/>
    </row>
    <row r="54" spans="1:8">
      <c r="A54" s="130" t="str">
        <f t="shared" si="1"/>
        <v xml:space="preserve"> </v>
      </c>
      <c r="B54" s="131" t="str">
        <f t="shared" si="2"/>
        <v xml:space="preserve"> </v>
      </c>
      <c r="C54" s="132" t="str">
        <f t="shared" si="4"/>
        <v xml:space="preserve"> </v>
      </c>
      <c r="D54" s="104" t="str">
        <f t="shared" si="0"/>
        <v/>
      </c>
      <c r="E54" s="90"/>
      <c r="F54" s="90"/>
      <c r="G54" s="90"/>
      <c r="H54" s="90"/>
    </row>
    <row r="55" spans="1:8">
      <c r="A55" s="130" t="str">
        <f t="shared" si="1"/>
        <v xml:space="preserve"> </v>
      </c>
      <c r="B55" s="131" t="str">
        <f t="shared" si="2"/>
        <v xml:space="preserve"> </v>
      </c>
      <c r="C55" s="132" t="str">
        <f t="shared" si="4"/>
        <v xml:space="preserve"> </v>
      </c>
      <c r="D55" s="104" t="str">
        <f t="shared" si="0"/>
        <v/>
      </c>
      <c r="E55" s="90"/>
      <c r="F55" s="90"/>
      <c r="G55" s="90"/>
      <c r="H55" s="90"/>
    </row>
    <row r="56" spans="1:8">
      <c r="A56" s="130" t="str">
        <f t="shared" si="1"/>
        <v xml:space="preserve"> </v>
      </c>
      <c r="B56" s="131" t="str">
        <f t="shared" si="2"/>
        <v xml:space="preserve"> </v>
      </c>
      <c r="C56" s="132" t="str">
        <f t="shared" si="4"/>
        <v xml:space="preserve"> </v>
      </c>
      <c r="D56" s="104" t="str">
        <f t="shared" si="0"/>
        <v/>
      </c>
      <c r="E56" s="90"/>
      <c r="F56" s="90"/>
      <c r="G56" s="90"/>
      <c r="H56" s="90"/>
    </row>
    <row r="57" spans="1:8">
      <c r="A57" s="130" t="str">
        <f t="shared" si="1"/>
        <v xml:space="preserve"> </v>
      </c>
      <c r="B57" s="131" t="str">
        <f t="shared" si="2"/>
        <v xml:space="preserve"> </v>
      </c>
      <c r="C57" s="132" t="str">
        <f t="shared" si="4"/>
        <v xml:space="preserve"> </v>
      </c>
      <c r="D57" s="104" t="str">
        <f t="shared" si="0"/>
        <v/>
      </c>
      <c r="E57" s="90"/>
      <c r="F57" s="90"/>
      <c r="G57" s="90"/>
      <c r="H57" s="90"/>
    </row>
    <row r="58" spans="1:8">
      <c r="A58" s="130" t="str">
        <f t="shared" si="1"/>
        <v xml:space="preserve"> </v>
      </c>
      <c r="B58" s="131" t="str">
        <f t="shared" si="2"/>
        <v xml:space="preserve"> </v>
      </c>
      <c r="C58" s="132" t="str">
        <f t="shared" si="4"/>
        <v xml:space="preserve"> </v>
      </c>
      <c r="D58" s="104" t="str">
        <f t="shared" si="0"/>
        <v/>
      </c>
      <c r="E58" s="90"/>
      <c r="F58" s="90"/>
      <c r="G58" s="90"/>
      <c r="H58" s="90"/>
    </row>
    <row r="59" spans="1:8">
      <c r="A59" s="130" t="str">
        <f t="shared" si="1"/>
        <v xml:space="preserve"> </v>
      </c>
      <c r="B59" s="131" t="str">
        <f t="shared" si="2"/>
        <v xml:space="preserve"> </v>
      </c>
      <c r="C59" s="132" t="str">
        <f t="shared" si="4"/>
        <v xml:space="preserve"> </v>
      </c>
      <c r="D59" s="104" t="str">
        <f t="shared" si="0"/>
        <v/>
      </c>
      <c r="E59" s="90"/>
      <c r="F59" s="90"/>
      <c r="G59" s="90"/>
      <c r="H59" s="90"/>
    </row>
    <row r="60" spans="1:8">
      <c r="A60" s="130" t="str">
        <f t="shared" si="1"/>
        <v xml:space="preserve"> </v>
      </c>
      <c r="B60" s="131" t="str">
        <f t="shared" si="2"/>
        <v xml:space="preserve"> </v>
      </c>
      <c r="C60" s="132" t="str">
        <f t="shared" si="4"/>
        <v xml:space="preserve"> </v>
      </c>
      <c r="D60" s="104" t="str">
        <f t="shared" si="0"/>
        <v/>
      </c>
      <c r="E60" s="90"/>
      <c r="F60" s="90"/>
      <c r="G60" s="90"/>
      <c r="H60" s="90"/>
    </row>
    <row r="61" spans="1:8">
      <c r="A61" s="130" t="str">
        <f t="shared" si="1"/>
        <v xml:space="preserve"> </v>
      </c>
      <c r="B61" s="131" t="str">
        <f t="shared" si="2"/>
        <v xml:space="preserve"> </v>
      </c>
      <c r="C61" s="132" t="str">
        <f t="shared" si="4"/>
        <v xml:space="preserve"> </v>
      </c>
      <c r="D61" s="104" t="str">
        <f t="shared" si="0"/>
        <v/>
      </c>
      <c r="E61" s="90"/>
      <c r="F61" s="90"/>
      <c r="G61" s="90"/>
      <c r="H61" s="90"/>
    </row>
    <row r="62" spans="1:8">
      <c r="A62" s="130" t="str">
        <f t="shared" si="1"/>
        <v xml:space="preserve"> </v>
      </c>
      <c r="B62" s="131" t="str">
        <f t="shared" si="2"/>
        <v xml:space="preserve"> </v>
      </c>
      <c r="C62" s="132" t="str">
        <f t="shared" si="4"/>
        <v xml:space="preserve"> </v>
      </c>
      <c r="D62" s="104" t="str">
        <f t="shared" si="0"/>
        <v/>
      </c>
      <c r="E62" s="90"/>
      <c r="F62" s="90"/>
      <c r="G62" s="90"/>
      <c r="H62" s="90"/>
    </row>
    <row r="63" spans="1:8">
      <c r="A63" s="130" t="str">
        <f t="shared" si="1"/>
        <v xml:space="preserve"> </v>
      </c>
      <c r="B63" s="131" t="str">
        <f t="shared" si="2"/>
        <v xml:space="preserve"> </v>
      </c>
      <c r="C63" s="132" t="str">
        <f t="shared" si="4"/>
        <v xml:space="preserve"> </v>
      </c>
      <c r="D63" s="104" t="str">
        <f t="shared" si="0"/>
        <v/>
      </c>
      <c r="E63" s="90"/>
      <c r="F63" s="90"/>
      <c r="G63" s="90"/>
      <c r="H63" s="90"/>
    </row>
    <row r="64" spans="1:8">
      <c r="A64" s="130" t="str">
        <f t="shared" si="1"/>
        <v xml:space="preserve"> </v>
      </c>
      <c r="B64" s="131" t="str">
        <f t="shared" si="2"/>
        <v xml:space="preserve"> </v>
      </c>
      <c r="C64" s="132" t="str">
        <f t="shared" si="4"/>
        <v xml:space="preserve"> </v>
      </c>
      <c r="D64" s="104" t="str">
        <f t="shared" si="0"/>
        <v/>
      </c>
      <c r="E64" s="90"/>
      <c r="F64" s="90"/>
      <c r="G64" s="90"/>
      <c r="H64" s="90"/>
    </row>
    <row r="65" spans="1:8">
      <c r="A65" s="130" t="str">
        <f t="shared" si="1"/>
        <v xml:space="preserve"> </v>
      </c>
      <c r="B65" s="131" t="str">
        <f t="shared" si="2"/>
        <v xml:space="preserve"> </v>
      </c>
      <c r="C65" s="132" t="str">
        <f t="shared" si="4"/>
        <v xml:space="preserve"> </v>
      </c>
      <c r="D65" s="104" t="str">
        <f t="shared" si="0"/>
        <v/>
      </c>
      <c r="E65" s="90"/>
      <c r="F65" s="90"/>
      <c r="G65" s="90"/>
      <c r="H65" s="90"/>
    </row>
    <row r="66" spans="1:8">
      <c r="A66" s="130" t="str">
        <f t="shared" si="1"/>
        <v xml:space="preserve"> </v>
      </c>
      <c r="B66" s="131" t="str">
        <f t="shared" si="2"/>
        <v xml:space="preserve"> </v>
      </c>
      <c r="C66" s="132" t="str">
        <f t="shared" si="4"/>
        <v xml:space="preserve"> </v>
      </c>
      <c r="D66" s="104" t="str">
        <f t="shared" si="0"/>
        <v/>
      </c>
      <c r="E66" s="90"/>
      <c r="F66" s="90"/>
      <c r="G66" s="90"/>
      <c r="H66" s="90"/>
    </row>
    <row r="67" spans="1:8">
      <c r="A67" s="137"/>
      <c r="B67" s="137"/>
      <c r="C67" s="137"/>
      <c r="D67" s="137"/>
      <c r="E67" s="137"/>
      <c r="F67" s="137"/>
      <c r="G67" s="137"/>
      <c r="H67" s="137"/>
    </row>
    <row r="68" spans="1:8">
      <c r="A68" s="137"/>
      <c r="B68" s="137"/>
      <c r="C68" s="137"/>
      <c r="D68" s="137"/>
      <c r="E68" s="137"/>
      <c r="F68" s="137"/>
      <c r="G68" s="137"/>
      <c r="H68" s="137"/>
    </row>
    <row r="69" spans="1:8">
      <c r="A69" s="137"/>
      <c r="B69" s="137"/>
      <c r="C69" s="137"/>
      <c r="D69" s="137"/>
      <c r="G69" s="137"/>
      <c r="H69" s="137"/>
    </row>
  </sheetData>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B3" sqref="B3"/>
    </sheetView>
  </sheetViews>
  <sheetFormatPr baseColWidth="10" defaultRowHeight="12.75"/>
  <cols>
    <col min="1" max="1" width="19.42578125" customWidth="1"/>
    <col min="3" max="3" width="12.7109375" customWidth="1"/>
    <col min="5" max="5" width="26.85546875" customWidth="1"/>
  </cols>
  <sheetData>
    <row r="1" spans="1:6" s="317" customFormat="1" ht="15.75">
      <c r="A1" s="315" t="s">
        <v>325</v>
      </c>
      <c r="B1" s="316"/>
      <c r="C1" s="316"/>
      <c r="D1" s="316"/>
      <c r="E1" s="316"/>
      <c r="F1" s="316"/>
    </row>
    <row r="2" spans="1:6">
      <c r="A2" s="70"/>
      <c r="B2" s="70"/>
      <c r="C2" s="70"/>
      <c r="D2" s="70"/>
      <c r="E2" s="70"/>
      <c r="F2" s="70"/>
    </row>
    <row r="3" spans="1:6">
      <c r="A3" s="140" t="s">
        <v>321</v>
      </c>
      <c r="B3" s="142">
        <v>112.69</v>
      </c>
      <c r="C3" s="70"/>
      <c r="D3" s="70"/>
      <c r="E3" s="70"/>
      <c r="F3" s="70"/>
    </row>
    <row r="4" spans="1:6">
      <c r="A4" s="140" t="s">
        <v>322</v>
      </c>
      <c r="B4" s="142">
        <v>1</v>
      </c>
      <c r="C4" s="70"/>
      <c r="D4" s="70"/>
      <c r="E4" s="70"/>
      <c r="F4" s="70"/>
    </row>
    <row r="5" spans="1:6">
      <c r="A5" s="140" t="s">
        <v>323</v>
      </c>
      <c r="B5" s="142">
        <v>1600</v>
      </c>
      <c r="C5" s="70" t="s">
        <v>324</v>
      </c>
      <c r="D5" s="70"/>
      <c r="E5" s="70"/>
      <c r="F5" s="70"/>
    </row>
    <row r="6" spans="1:6">
      <c r="A6" s="70"/>
      <c r="B6" s="70"/>
      <c r="C6" s="70"/>
      <c r="D6" s="70"/>
      <c r="E6" s="70"/>
      <c r="F6" s="70"/>
    </row>
    <row r="7" spans="1:6">
      <c r="A7" s="70"/>
      <c r="B7" s="70"/>
      <c r="C7" s="70"/>
      <c r="D7" s="70"/>
      <c r="E7" s="70"/>
      <c r="F7" s="70"/>
    </row>
    <row r="8" spans="1:6" ht="50.25" customHeight="1">
      <c r="A8" s="70"/>
      <c r="B8" s="234" t="s">
        <v>82</v>
      </c>
      <c r="C8" s="75" t="s">
        <v>326</v>
      </c>
      <c r="D8" s="321" t="s">
        <v>464</v>
      </c>
      <c r="E8" s="140" t="s">
        <v>331</v>
      </c>
      <c r="F8" s="70"/>
    </row>
    <row r="9" spans="1:6">
      <c r="A9" s="234" t="s">
        <v>330</v>
      </c>
      <c r="B9" s="234">
        <f>B3</f>
        <v>112.69</v>
      </c>
      <c r="C9" s="333">
        <f>-B5*B4</f>
        <v>-1600</v>
      </c>
      <c r="D9" s="334">
        <v>0</v>
      </c>
      <c r="E9" s="140"/>
      <c r="F9" s="70"/>
    </row>
    <row r="10" spans="1:6">
      <c r="A10" s="234" t="s">
        <v>327</v>
      </c>
      <c r="B10" s="314">
        <v>113</v>
      </c>
      <c r="C10" s="234"/>
      <c r="D10" s="334">
        <f>(B10-B3)*1000*$B$4</f>
        <v>310.00000000000227</v>
      </c>
      <c r="E10" s="140"/>
      <c r="F10" s="70"/>
    </row>
    <row r="11" spans="1:6">
      <c r="A11" s="234" t="s">
        <v>328</v>
      </c>
      <c r="B11" s="314">
        <v>112.89</v>
      </c>
      <c r="C11" s="234"/>
      <c r="D11" s="334">
        <f>(B11-B10)*1000*$B$4</f>
        <v>-109.99999999999943</v>
      </c>
      <c r="E11" s="140"/>
      <c r="F11" s="70"/>
    </row>
    <row r="12" spans="1:6">
      <c r="A12" s="234" t="s">
        <v>329</v>
      </c>
      <c r="B12" s="140">
        <v>113.12</v>
      </c>
      <c r="C12" s="140"/>
      <c r="D12" s="334">
        <f>(B12-B11)*1000*$B$4</f>
        <v>230.00000000000398</v>
      </c>
      <c r="E12" s="140"/>
      <c r="F12" s="70"/>
    </row>
    <row r="13" spans="1:6">
      <c r="A13" s="318"/>
      <c r="B13" s="165"/>
      <c r="C13" s="319">
        <v>1600</v>
      </c>
      <c r="D13" s="335"/>
      <c r="E13" s="140"/>
      <c r="F13" s="70"/>
    </row>
    <row r="14" spans="1:6">
      <c r="A14" s="234" t="s">
        <v>157</v>
      </c>
      <c r="B14" s="140"/>
      <c r="C14" s="145">
        <f>SUM(C9:C13)</f>
        <v>0</v>
      </c>
      <c r="D14" s="336">
        <f>SUM(D9:D13)</f>
        <v>430.00000000000682</v>
      </c>
      <c r="E14" s="140"/>
      <c r="F14" s="70"/>
    </row>
    <row r="15" spans="1:6">
      <c r="A15" s="70"/>
      <c r="B15" s="70"/>
      <c r="C15" s="70"/>
      <c r="D15" s="70"/>
      <c r="E15" s="70"/>
      <c r="F15" s="70"/>
    </row>
    <row r="16" spans="1:6">
      <c r="A16" s="140" t="s">
        <v>243</v>
      </c>
      <c r="B16" s="320">
        <f>(B12-B9)*1000*$B$4</f>
        <v>430.00000000000682</v>
      </c>
      <c r="C16" s="70"/>
      <c r="D16" s="70"/>
      <c r="E16" s="70"/>
      <c r="F16" s="70"/>
    </row>
    <row r="17" spans="1:6">
      <c r="A17" s="70"/>
      <c r="B17" s="70"/>
      <c r="C17" s="70"/>
      <c r="D17" s="70"/>
      <c r="E17" s="70"/>
      <c r="F17" s="70"/>
    </row>
    <row r="18" spans="1:6">
      <c r="A18" s="70"/>
      <c r="B18" s="70"/>
      <c r="C18" s="70"/>
      <c r="D18" s="70"/>
      <c r="E18" s="70"/>
      <c r="F18" s="70"/>
    </row>
  </sheetData>
  <phoneticPr fontId="15" type="noConversion"/>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9"/>
  <sheetViews>
    <sheetView workbookViewId="0">
      <selection activeCell="A4" sqref="A4"/>
    </sheetView>
  </sheetViews>
  <sheetFormatPr baseColWidth="10" defaultRowHeight="12.75"/>
  <cols>
    <col min="2" max="2" width="12.28515625" customWidth="1"/>
    <col min="3" max="3" width="16.5703125" customWidth="1"/>
    <col min="4" max="4" width="11.7109375" customWidth="1"/>
    <col min="5" max="5" width="13.5703125" customWidth="1"/>
    <col min="6" max="6" width="15.28515625" customWidth="1"/>
  </cols>
  <sheetData>
    <row r="1" spans="1:8" ht="15.75">
      <c r="A1" s="89" t="s">
        <v>371</v>
      </c>
      <c r="B1" s="90"/>
      <c r="C1" s="90"/>
      <c r="D1" s="90"/>
      <c r="E1" s="90"/>
      <c r="F1" s="90"/>
      <c r="G1" s="90"/>
      <c r="H1" s="90"/>
    </row>
    <row r="2" spans="1:8">
      <c r="A2" s="93" t="s">
        <v>69</v>
      </c>
      <c r="B2" s="94"/>
      <c r="C2" s="313">
        <v>37928</v>
      </c>
      <c r="D2" s="90"/>
      <c r="E2" s="90"/>
      <c r="F2" s="90"/>
      <c r="G2" s="90"/>
      <c r="H2" s="90"/>
    </row>
    <row r="3" spans="1:8">
      <c r="A3" s="93" t="s">
        <v>70</v>
      </c>
      <c r="B3" s="94"/>
      <c r="C3" s="95">
        <v>37965</v>
      </c>
      <c r="D3" s="92" t="s">
        <v>71</v>
      </c>
      <c r="E3" s="90"/>
      <c r="F3" s="90"/>
      <c r="G3" s="90"/>
      <c r="H3" s="90"/>
    </row>
    <row r="4" spans="1:8">
      <c r="A4" s="93" t="s">
        <v>370</v>
      </c>
      <c r="B4" s="96"/>
      <c r="C4" s="97">
        <v>0.03</v>
      </c>
      <c r="D4" s="90"/>
      <c r="E4" s="90"/>
      <c r="F4" s="90"/>
      <c r="G4" s="90"/>
      <c r="H4" s="90"/>
    </row>
    <row r="5" spans="1:8">
      <c r="A5" s="92"/>
      <c r="B5" s="90"/>
      <c r="C5" s="90"/>
      <c r="D5" s="90"/>
      <c r="E5" s="90"/>
      <c r="F5" s="90"/>
      <c r="G5" s="90"/>
      <c r="H5" s="90"/>
    </row>
    <row r="6" spans="1:8">
      <c r="A6" s="98" t="s">
        <v>72</v>
      </c>
      <c r="B6" s="94"/>
      <c r="C6" s="99" t="s">
        <v>375</v>
      </c>
      <c r="D6" s="90"/>
      <c r="E6" s="90"/>
      <c r="F6" s="90"/>
      <c r="G6" s="90"/>
      <c r="H6" s="90"/>
    </row>
    <row r="7" spans="1:8">
      <c r="A7" s="93" t="s">
        <v>73</v>
      </c>
      <c r="B7" s="94"/>
      <c r="C7" s="100">
        <v>105.38</v>
      </c>
      <c r="D7" s="92" t="s">
        <v>320</v>
      </c>
      <c r="E7" s="90"/>
      <c r="F7" s="90"/>
      <c r="G7" s="90"/>
      <c r="H7" s="90"/>
    </row>
    <row r="8" spans="1:8">
      <c r="A8" s="93" t="s">
        <v>74</v>
      </c>
      <c r="B8" s="94"/>
      <c r="C8" s="101">
        <v>0.05</v>
      </c>
      <c r="D8" s="90"/>
      <c r="E8" s="90"/>
      <c r="F8" s="90"/>
      <c r="G8" s="90"/>
      <c r="H8" s="90"/>
    </row>
    <row r="9" spans="1:8">
      <c r="A9" s="93" t="s">
        <v>75</v>
      </c>
      <c r="B9" s="94"/>
      <c r="C9" s="95">
        <v>37806</v>
      </c>
      <c r="D9" s="92"/>
      <c r="E9" s="90"/>
      <c r="F9" s="90"/>
      <c r="G9" s="90"/>
      <c r="H9" s="90"/>
    </row>
    <row r="10" spans="1:8">
      <c r="A10" s="93" t="s">
        <v>76</v>
      </c>
      <c r="B10" s="94"/>
      <c r="C10" s="95">
        <v>38172</v>
      </c>
      <c r="D10" s="90"/>
      <c r="E10" s="90"/>
      <c r="F10" s="90"/>
      <c r="G10" s="90"/>
      <c r="H10" s="90"/>
    </row>
    <row r="11" spans="1:8">
      <c r="A11" s="93" t="s">
        <v>77</v>
      </c>
      <c r="B11" s="94"/>
      <c r="C11" s="95">
        <v>41094</v>
      </c>
      <c r="D11" s="90"/>
      <c r="E11" s="90"/>
      <c r="F11" s="90"/>
      <c r="G11" s="90"/>
      <c r="H11" s="90"/>
    </row>
    <row r="12" spans="1:8">
      <c r="A12" s="90"/>
      <c r="B12" s="90"/>
      <c r="C12" s="90"/>
      <c r="D12" s="90"/>
      <c r="E12" s="90"/>
      <c r="F12" s="90"/>
      <c r="G12" s="90"/>
      <c r="H12" s="90"/>
    </row>
    <row r="13" spans="1:8">
      <c r="A13" s="98" t="s">
        <v>78</v>
      </c>
      <c r="B13" s="94"/>
      <c r="C13" s="102">
        <f>C4*(C3-C2)/360*(C7+100*C8*YEARFRAC(C9,C2,1))</f>
        <v>0.33007463470319626</v>
      </c>
      <c r="D13" s="103"/>
      <c r="E13" s="90"/>
      <c r="F13" s="90"/>
      <c r="G13" s="90"/>
      <c r="H13" s="90"/>
    </row>
    <row r="14" spans="1:8">
      <c r="A14" s="98" t="s">
        <v>79</v>
      </c>
      <c r="B14" s="94"/>
      <c r="C14" s="102">
        <f>C8*100*YEARFRAC(C2,C3,1)</f>
        <v>0.50684931506849318</v>
      </c>
      <c r="D14" s="90"/>
      <c r="E14" s="90"/>
      <c r="F14" s="90"/>
      <c r="G14" s="90"/>
      <c r="H14" s="90"/>
    </row>
    <row r="15" spans="1:8">
      <c r="A15" s="98" t="s">
        <v>314</v>
      </c>
      <c r="B15" s="96"/>
      <c r="C15" s="348">
        <f>C7+C13-C14</f>
        <v>105.2032253196347</v>
      </c>
      <c r="D15" s="92"/>
      <c r="E15" s="90"/>
      <c r="F15" s="90"/>
      <c r="G15" s="90"/>
      <c r="H15" s="90"/>
    </row>
    <row r="16" spans="1:8">
      <c r="A16" s="98" t="s">
        <v>366</v>
      </c>
      <c r="B16" s="94"/>
      <c r="C16" s="102">
        <f>(F32-E26)/E20</f>
        <v>0.93415469005127039</v>
      </c>
      <c r="D16" s="92"/>
      <c r="E16" s="90"/>
      <c r="F16" s="90"/>
      <c r="G16" s="90"/>
      <c r="H16" s="90"/>
    </row>
    <row r="17" spans="1:8">
      <c r="A17" s="98" t="s">
        <v>80</v>
      </c>
      <c r="B17" s="94"/>
      <c r="C17" s="348">
        <f>C15/C16</f>
        <v>112.61863419415118</v>
      </c>
      <c r="D17" s="90"/>
      <c r="E17" s="92"/>
      <c r="F17" s="90"/>
      <c r="G17" s="90"/>
      <c r="H17" s="90"/>
    </row>
    <row r="18" spans="1:8">
      <c r="A18" s="91"/>
      <c r="B18" s="90"/>
      <c r="C18" s="105"/>
      <c r="D18" s="90"/>
      <c r="E18" s="92"/>
      <c r="F18" s="90"/>
      <c r="G18" s="90"/>
      <c r="H18" s="90"/>
    </row>
    <row r="19" spans="1:8">
      <c r="A19" s="91" t="s">
        <v>373</v>
      </c>
      <c r="B19" s="90"/>
      <c r="C19" s="90"/>
      <c r="D19" s="90"/>
      <c r="E19" s="90"/>
      <c r="F19" s="90"/>
      <c r="G19" s="90"/>
      <c r="H19" s="90"/>
    </row>
    <row r="20" spans="1:8">
      <c r="A20" s="93" t="s">
        <v>81</v>
      </c>
      <c r="B20" s="94"/>
      <c r="C20" s="106">
        <f>C3</f>
        <v>37965</v>
      </c>
      <c r="D20" s="107" t="s">
        <v>1</v>
      </c>
      <c r="E20" s="108">
        <v>100</v>
      </c>
      <c r="F20" s="90"/>
      <c r="G20" s="90"/>
      <c r="H20" s="90"/>
    </row>
    <row r="21" spans="1:8">
      <c r="A21" s="93" t="s">
        <v>82</v>
      </c>
      <c r="B21" s="94"/>
      <c r="C21" s="109">
        <f>C7</f>
        <v>105.38</v>
      </c>
      <c r="D21" s="107"/>
      <c r="E21" s="110"/>
      <c r="F21" s="90"/>
      <c r="G21" s="90"/>
      <c r="H21" s="90"/>
    </row>
    <row r="22" spans="1:8">
      <c r="A22" s="111" t="s">
        <v>11</v>
      </c>
      <c r="B22" s="112"/>
      <c r="C22" s="113">
        <f>C8</f>
        <v>0.05</v>
      </c>
      <c r="D22" s="90"/>
      <c r="E22" s="92"/>
      <c r="F22" s="90"/>
      <c r="G22" s="90"/>
      <c r="H22" s="90"/>
    </row>
    <row r="23" spans="1:8">
      <c r="A23" s="93" t="s">
        <v>83</v>
      </c>
      <c r="B23" s="94"/>
      <c r="C23" s="106">
        <f>C9</f>
        <v>37806</v>
      </c>
      <c r="D23" s="114"/>
      <c r="E23" s="115"/>
      <c r="F23" s="90"/>
      <c r="G23" s="92"/>
      <c r="H23" s="90"/>
    </row>
    <row r="24" spans="1:8">
      <c r="A24" s="93" t="s">
        <v>76</v>
      </c>
      <c r="B24" s="94"/>
      <c r="C24" s="106">
        <f>C10</f>
        <v>38172</v>
      </c>
      <c r="D24" s="90"/>
      <c r="E24" s="92"/>
      <c r="F24" s="90"/>
      <c r="G24" s="92"/>
      <c r="H24" s="90"/>
    </row>
    <row r="25" spans="1:8">
      <c r="A25" s="93" t="s">
        <v>3</v>
      </c>
      <c r="B25" s="94"/>
      <c r="C25" s="116">
        <v>1</v>
      </c>
      <c r="D25" s="117" t="s">
        <v>84</v>
      </c>
      <c r="E25" s="118">
        <f>E20*C21/100</f>
        <v>105.38</v>
      </c>
      <c r="F25" s="90"/>
      <c r="G25" s="90"/>
      <c r="H25" s="90"/>
    </row>
    <row r="26" spans="1:8">
      <c r="A26" s="93" t="s">
        <v>77</v>
      </c>
      <c r="B26" s="94"/>
      <c r="C26" s="106">
        <f>C11</f>
        <v>41094</v>
      </c>
      <c r="D26" s="119" t="s">
        <v>85</v>
      </c>
      <c r="E26" s="118">
        <f>C22*E20*(C20-C23)/(C24-C23)/C25</f>
        <v>2.1721311475409837</v>
      </c>
      <c r="F26" s="92" t="s">
        <v>86</v>
      </c>
      <c r="G26" s="90"/>
      <c r="H26" s="92"/>
    </row>
    <row r="27" spans="1:8">
      <c r="A27" s="93" t="s">
        <v>87</v>
      </c>
      <c r="B27" s="94"/>
      <c r="C27" s="104">
        <v>100</v>
      </c>
      <c r="D27" s="120"/>
      <c r="E27" s="121"/>
      <c r="F27" s="119"/>
      <c r="G27" s="122"/>
      <c r="H27" s="92"/>
    </row>
    <row r="28" spans="1:8">
      <c r="A28" s="123"/>
      <c r="B28" s="124"/>
      <c r="C28" s="124"/>
      <c r="D28" s="119" t="s">
        <v>88</v>
      </c>
      <c r="E28" s="118">
        <f>E25+E26</f>
        <v>107.55213114754098</v>
      </c>
      <c r="F28" s="92"/>
      <c r="G28" s="92"/>
      <c r="H28" s="90"/>
    </row>
    <row r="29" spans="1:8">
      <c r="A29" s="123"/>
      <c r="B29" s="124"/>
      <c r="C29" s="124"/>
      <c r="D29" s="90"/>
      <c r="E29" s="125"/>
      <c r="F29" s="124"/>
      <c r="G29" s="124"/>
      <c r="H29" s="90"/>
    </row>
    <row r="30" spans="1:8">
      <c r="A30" s="91" t="s">
        <v>89</v>
      </c>
      <c r="B30" s="90"/>
      <c r="C30" s="90"/>
      <c r="D30" s="90"/>
      <c r="E30" s="125"/>
      <c r="F30" s="124"/>
      <c r="G30" s="124"/>
      <c r="H30" s="90"/>
    </row>
    <row r="31" spans="1:8" ht="38.25">
      <c r="A31" s="126" t="s">
        <v>28</v>
      </c>
      <c r="B31" s="127" t="s">
        <v>90</v>
      </c>
      <c r="C31" s="127" t="s">
        <v>374</v>
      </c>
      <c r="D31" s="128" t="s">
        <v>372</v>
      </c>
      <c r="E31" s="129"/>
      <c r="F31" s="124"/>
      <c r="G31" s="124"/>
      <c r="H31" s="90"/>
    </row>
    <row r="32" spans="1:8">
      <c r="A32" s="130">
        <f>C20</f>
        <v>37965</v>
      </c>
      <c r="B32" s="131"/>
      <c r="C32" s="132">
        <f>IF(A32="",0,YEARFRAC(MIN($A$32:$A$41),A32,4))</f>
        <v>0</v>
      </c>
      <c r="D32" s="133"/>
      <c r="E32" s="116" t="s">
        <v>91</v>
      </c>
      <c r="F32" s="138">
        <f>SUM(D33:D66)</f>
        <v>95.587600152668017</v>
      </c>
      <c r="G32" s="124"/>
      <c r="H32" s="90"/>
    </row>
    <row r="33" spans="1:8">
      <c r="A33" s="134">
        <f>C24</f>
        <v>38172</v>
      </c>
      <c r="B33" s="135">
        <f>$E$20*$C$22*YEARFRAC(C23,C24,4)+IF(A33=C26,$E$20*C27/100,0)</f>
        <v>5</v>
      </c>
      <c r="C33" s="136">
        <f>IF(A33=" ",0,(A33-A32)/(C24-C23)/C25)</f>
        <v>0.56557377049180324</v>
      </c>
      <c r="D33" s="104">
        <f t="shared" ref="D33:D66" si="0">IF(A33=" ","",B33/1.06^C33)</f>
        <v>4.8379087280051642</v>
      </c>
      <c r="E33" s="125"/>
      <c r="F33" s="124"/>
      <c r="G33" s="124"/>
      <c r="H33" s="90"/>
    </row>
    <row r="34" spans="1:8">
      <c r="A34" s="130">
        <f t="shared" ref="A34:A66" si="1">IF(A33=" "," ",IF(EDATE(A33,12/$C$25)&gt;$C$26," ",EDATE(A33,12/$C$25)))</f>
        <v>38537</v>
      </c>
      <c r="B34" s="131">
        <f t="shared" ref="B34:B66" si="2">IF(A34=" "," ",$E$20*$C$22/$C$25+IF(A34=$C$26,$C$27*$E$20/100,0))</f>
        <v>5</v>
      </c>
      <c r="C34" s="132">
        <f>IF(A34=" "," ",C33+1)</f>
        <v>1.5655737704918034</v>
      </c>
      <c r="D34" s="104">
        <f t="shared" si="0"/>
        <v>4.5640648377407214</v>
      </c>
      <c r="E34" s="92" t="s">
        <v>367</v>
      </c>
      <c r="F34" s="90"/>
      <c r="G34" s="124"/>
      <c r="H34" s="90"/>
    </row>
    <row r="35" spans="1:8">
      <c r="A35" s="130">
        <f t="shared" si="1"/>
        <v>38902</v>
      </c>
      <c r="B35" s="131">
        <f t="shared" si="2"/>
        <v>5</v>
      </c>
      <c r="C35" s="132">
        <f t="shared" ref="C35:C41" si="3">IF(A35=" "," ",C34+1)</f>
        <v>2.5655737704918034</v>
      </c>
      <c r="D35" s="104">
        <f t="shared" si="0"/>
        <v>4.3057215450384163</v>
      </c>
      <c r="E35" s="339"/>
      <c r="F35" s="340" t="s">
        <v>368</v>
      </c>
      <c r="G35" s="90"/>
      <c r="H35" s="90"/>
    </row>
    <row r="36" spans="1:8">
      <c r="A36" s="130">
        <f t="shared" si="1"/>
        <v>39267</v>
      </c>
      <c r="B36" s="131">
        <f t="shared" si="2"/>
        <v>5</v>
      </c>
      <c r="C36" s="132">
        <f t="shared" si="3"/>
        <v>3.5655737704918034</v>
      </c>
      <c r="D36" s="104">
        <f t="shared" si="0"/>
        <v>4.0620014575834107</v>
      </c>
      <c r="E36" s="118"/>
      <c r="F36" s="92" t="s">
        <v>1</v>
      </c>
      <c r="G36" s="90"/>
      <c r="H36" s="90"/>
    </row>
    <row r="37" spans="1:8">
      <c r="A37" s="130">
        <f t="shared" si="1"/>
        <v>39633</v>
      </c>
      <c r="B37" s="131">
        <f t="shared" si="2"/>
        <v>5</v>
      </c>
      <c r="C37" s="132">
        <f t="shared" si="3"/>
        <v>4.5655737704918034</v>
      </c>
      <c r="D37" s="104">
        <f t="shared" si="0"/>
        <v>3.8320768467768027</v>
      </c>
      <c r="E37" s="344" t="s">
        <v>369</v>
      </c>
      <c r="F37" s="347">
        <f>(F32-E26)/E20</f>
        <v>0.93415469005127039</v>
      </c>
      <c r="G37" s="90"/>
      <c r="H37" s="90"/>
    </row>
    <row r="38" spans="1:8">
      <c r="A38" s="130">
        <f t="shared" si="1"/>
        <v>39998</v>
      </c>
      <c r="B38" s="131">
        <f t="shared" si="2"/>
        <v>5</v>
      </c>
      <c r="C38" s="132">
        <f t="shared" si="3"/>
        <v>5.5655737704918034</v>
      </c>
      <c r="D38" s="104">
        <f t="shared" si="0"/>
        <v>3.615166836581889</v>
      </c>
      <c r="E38" s="90"/>
      <c r="F38" s="90"/>
      <c r="G38" s="90"/>
      <c r="H38" s="90"/>
    </row>
    <row r="39" spans="1:8">
      <c r="A39" s="130">
        <f t="shared" si="1"/>
        <v>40363</v>
      </c>
      <c r="B39" s="131">
        <f t="shared" si="2"/>
        <v>5</v>
      </c>
      <c r="C39" s="132">
        <f t="shared" si="3"/>
        <v>6.5655737704918034</v>
      </c>
      <c r="D39" s="104">
        <f t="shared" si="0"/>
        <v>3.4105347514923476</v>
      </c>
      <c r="E39" s="350" t="s">
        <v>377</v>
      </c>
      <c r="F39" s="90"/>
      <c r="G39" s="90"/>
      <c r="H39" s="90"/>
    </row>
    <row r="40" spans="1:8" s="346" customFormat="1">
      <c r="A40" s="341">
        <f t="shared" si="1"/>
        <v>40728</v>
      </c>
      <c r="B40" s="342">
        <f t="shared" si="2"/>
        <v>5</v>
      </c>
      <c r="C40" s="132">
        <f t="shared" si="3"/>
        <v>7.5655737704918034</v>
      </c>
      <c r="D40" s="343">
        <f t="shared" si="0"/>
        <v>3.2174856146154225</v>
      </c>
      <c r="E40" s="350" t="s">
        <v>376</v>
      </c>
      <c r="F40" s="90"/>
      <c r="G40" s="345"/>
      <c r="H40" s="345"/>
    </row>
    <row r="41" spans="1:8">
      <c r="A41" s="130">
        <f t="shared" si="1"/>
        <v>41094</v>
      </c>
      <c r="B41" s="131">
        <f t="shared" si="2"/>
        <v>105</v>
      </c>
      <c r="C41" s="132">
        <f t="shared" si="3"/>
        <v>8.5655737704918025</v>
      </c>
      <c r="D41" s="104">
        <f t="shared" si="0"/>
        <v>63.742639534833835</v>
      </c>
      <c r="E41" s="90"/>
      <c r="F41" s="90"/>
      <c r="G41" s="90"/>
      <c r="H41" s="90"/>
    </row>
    <row r="42" spans="1:8">
      <c r="A42" s="130" t="str">
        <f t="shared" si="1"/>
        <v xml:space="preserve"> </v>
      </c>
      <c r="B42" s="131" t="str">
        <f t="shared" si="2"/>
        <v xml:space="preserve"> </v>
      </c>
      <c r="C42" s="132" t="str">
        <f t="shared" ref="C42:C66" si="4">IF(A42=" "," ",C41+YEARFRAC(A41,A42,1))</f>
        <v xml:space="preserve"> </v>
      </c>
      <c r="D42" s="104" t="str">
        <f t="shared" si="0"/>
        <v/>
      </c>
      <c r="E42" s="90"/>
      <c r="F42" s="90"/>
      <c r="G42" s="90"/>
      <c r="H42" s="90"/>
    </row>
    <row r="43" spans="1:8">
      <c r="A43" s="130" t="str">
        <f t="shared" si="1"/>
        <v xml:space="preserve"> </v>
      </c>
      <c r="B43" s="131" t="str">
        <f t="shared" si="2"/>
        <v xml:space="preserve"> </v>
      </c>
      <c r="C43" s="132" t="str">
        <f t="shared" si="4"/>
        <v xml:space="preserve"> </v>
      </c>
      <c r="D43" s="104" t="str">
        <f t="shared" si="0"/>
        <v/>
      </c>
      <c r="E43" s="92"/>
      <c r="F43" s="90"/>
      <c r="G43" s="90"/>
      <c r="H43" s="90"/>
    </row>
    <row r="44" spans="1:8">
      <c r="A44" s="130" t="str">
        <f t="shared" si="1"/>
        <v xml:space="preserve"> </v>
      </c>
      <c r="B44" s="131" t="str">
        <f t="shared" si="2"/>
        <v xml:space="preserve"> </v>
      </c>
      <c r="C44" s="132" t="str">
        <f t="shared" si="4"/>
        <v xml:space="preserve"> </v>
      </c>
      <c r="D44" s="104" t="str">
        <f t="shared" si="0"/>
        <v/>
      </c>
      <c r="E44" s="92"/>
      <c r="F44" s="90"/>
      <c r="G44" s="90"/>
      <c r="H44" s="90"/>
    </row>
    <row r="45" spans="1:8">
      <c r="A45" s="130" t="str">
        <f t="shared" si="1"/>
        <v xml:space="preserve"> </v>
      </c>
      <c r="B45" s="131" t="str">
        <f t="shared" si="2"/>
        <v xml:space="preserve"> </v>
      </c>
      <c r="C45" s="132" t="str">
        <f t="shared" si="4"/>
        <v xml:space="preserve"> </v>
      </c>
      <c r="D45" s="104" t="str">
        <f t="shared" si="0"/>
        <v/>
      </c>
      <c r="E45" s="92"/>
      <c r="F45" s="90"/>
      <c r="G45" s="90"/>
      <c r="H45" s="90"/>
    </row>
    <row r="46" spans="1:8">
      <c r="A46" s="130" t="str">
        <f t="shared" si="1"/>
        <v xml:space="preserve"> </v>
      </c>
      <c r="B46" s="131" t="str">
        <f t="shared" si="2"/>
        <v xml:space="preserve"> </v>
      </c>
      <c r="C46" s="132" t="str">
        <f t="shared" si="4"/>
        <v xml:space="preserve"> </v>
      </c>
      <c r="D46" s="104" t="str">
        <f t="shared" si="0"/>
        <v/>
      </c>
      <c r="E46" s="90"/>
      <c r="F46" s="90"/>
      <c r="G46" s="90"/>
      <c r="H46" s="90"/>
    </row>
    <row r="47" spans="1:8">
      <c r="A47" s="130" t="str">
        <f t="shared" si="1"/>
        <v xml:space="preserve"> </v>
      </c>
      <c r="B47" s="131" t="str">
        <f t="shared" si="2"/>
        <v xml:space="preserve"> </v>
      </c>
      <c r="C47" s="132" t="str">
        <f t="shared" si="4"/>
        <v xml:space="preserve"> </v>
      </c>
      <c r="D47" s="104" t="str">
        <f t="shared" si="0"/>
        <v/>
      </c>
      <c r="E47" s="90"/>
      <c r="F47" s="90"/>
      <c r="G47" s="90"/>
      <c r="H47" s="90"/>
    </row>
    <row r="48" spans="1:8">
      <c r="A48" s="130" t="str">
        <f t="shared" si="1"/>
        <v xml:space="preserve"> </v>
      </c>
      <c r="B48" s="131" t="str">
        <f t="shared" si="2"/>
        <v xml:space="preserve"> </v>
      </c>
      <c r="C48" s="132" t="str">
        <f t="shared" si="4"/>
        <v xml:space="preserve"> </v>
      </c>
      <c r="D48" s="104" t="str">
        <f t="shared" si="0"/>
        <v/>
      </c>
      <c r="E48" s="90"/>
      <c r="F48" s="90"/>
      <c r="G48" s="90"/>
      <c r="H48" s="90"/>
    </row>
    <row r="49" spans="1:8">
      <c r="A49" s="130" t="str">
        <f t="shared" si="1"/>
        <v xml:space="preserve"> </v>
      </c>
      <c r="B49" s="131" t="str">
        <f t="shared" si="2"/>
        <v xml:space="preserve"> </v>
      </c>
      <c r="C49" s="132" t="str">
        <f t="shared" si="4"/>
        <v xml:space="preserve"> </v>
      </c>
      <c r="D49" s="104" t="str">
        <f t="shared" si="0"/>
        <v/>
      </c>
      <c r="E49" s="90"/>
      <c r="F49" s="90"/>
      <c r="G49" s="90"/>
      <c r="H49" s="90"/>
    </row>
    <row r="50" spans="1:8">
      <c r="A50" s="130" t="str">
        <f t="shared" si="1"/>
        <v xml:space="preserve"> </v>
      </c>
      <c r="B50" s="131" t="str">
        <f t="shared" si="2"/>
        <v xml:space="preserve"> </v>
      </c>
      <c r="C50" s="132" t="str">
        <f t="shared" si="4"/>
        <v xml:space="preserve"> </v>
      </c>
      <c r="D50" s="104" t="str">
        <f t="shared" si="0"/>
        <v/>
      </c>
      <c r="E50" s="90"/>
      <c r="F50" s="90"/>
      <c r="G50" s="90"/>
      <c r="H50" s="90"/>
    </row>
    <row r="51" spans="1:8">
      <c r="A51" s="130" t="str">
        <f t="shared" si="1"/>
        <v xml:space="preserve"> </v>
      </c>
      <c r="B51" s="131" t="str">
        <f t="shared" si="2"/>
        <v xml:space="preserve"> </v>
      </c>
      <c r="C51" s="132" t="str">
        <f t="shared" si="4"/>
        <v xml:space="preserve"> </v>
      </c>
      <c r="D51" s="104" t="str">
        <f t="shared" si="0"/>
        <v/>
      </c>
      <c r="E51" s="90"/>
      <c r="F51" s="90"/>
      <c r="G51" s="90"/>
      <c r="H51" s="90"/>
    </row>
    <row r="52" spans="1:8">
      <c r="A52" s="130" t="str">
        <f t="shared" si="1"/>
        <v xml:space="preserve"> </v>
      </c>
      <c r="B52" s="131" t="str">
        <f t="shared" si="2"/>
        <v xml:space="preserve"> </v>
      </c>
      <c r="C52" s="132" t="str">
        <f t="shared" si="4"/>
        <v xml:space="preserve"> </v>
      </c>
      <c r="D52" s="104" t="str">
        <f t="shared" si="0"/>
        <v/>
      </c>
      <c r="E52" s="90"/>
      <c r="F52" s="90"/>
      <c r="G52" s="90"/>
      <c r="H52" s="90"/>
    </row>
    <row r="53" spans="1:8">
      <c r="A53" s="130" t="str">
        <f t="shared" si="1"/>
        <v xml:space="preserve"> </v>
      </c>
      <c r="B53" s="131" t="str">
        <f t="shared" si="2"/>
        <v xml:space="preserve"> </v>
      </c>
      <c r="C53" s="132" t="str">
        <f t="shared" si="4"/>
        <v xml:space="preserve"> </v>
      </c>
      <c r="D53" s="104" t="str">
        <f t="shared" si="0"/>
        <v/>
      </c>
      <c r="E53" s="90"/>
      <c r="F53" s="90"/>
      <c r="G53" s="90"/>
      <c r="H53" s="90"/>
    </row>
    <row r="54" spans="1:8">
      <c r="A54" s="130" t="str">
        <f t="shared" si="1"/>
        <v xml:space="preserve"> </v>
      </c>
      <c r="B54" s="131" t="str">
        <f t="shared" si="2"/>
        <v xml:space="preserve"> </v>
      </c>
      <c r="C54" s="132" t="str">
        <f t="shared" si="4"/>
        <v xml:space="preserve"> </v>
      </c>
      <c r="D54" s="104" t="str">
        <f t="shared" si="0"/>
        <v/>
      </c>
      <c r="E54" s="90"/>
      <c r="F54" s="90"/>
      <c r="G54" s="90"/>
      <c r="H54" s="90"/>
    </row>
    <row r="55" spans="1:8">
      <c r="A55" s="130" t="str">
        <f t="shared" si="1"/>
        <v xml:space="preserve"> </v>
      </c>
      <c r="B55" s="131" t="str">
        <f t="shared" si="2"/>
        <v xml:space="preserve"> </v>
      </c>
      <c r="C55" s="132" t="str">
        <f t="shared" si="4"/>
        <v xml:space="preserve"> </v>
      </c>
      <c r="D55" s="104" t="str">
        <f t="shared" si="0"/>
        <v/>
      </c>
      <c r="E55" s="90"/>
      <c r="F55" s="90"/>
      <c r="G55" s="90"/>
      <c r="H55" s="90"/>
    </row>
    <row r="56" spans="1:8">
      <c r="A56" s="130" t="str">
        <f t="shared" si="1"/>
        <v xml:space="preserve"> </v>
      </c>
      <c r="B56" s="131" t="str">
        <f t="shared" si="2"/>
        <v xml:space="preserve"> </v>
      </c>
      <c r="C56" s="132" t="str">
        <f t="shared" si="4"/>
        <v xml:space="preserve"> </v>
      </c>
      <c r="D56" s="104" t="str">
        <f t="shared" si="0"/>
        <v/>
      </c>
      <c r="E56" s="90"/>
      <c r="F56" s="90"/>
      <c r="G56" s="90"/>
      <c r="H56" s="90"/>
    </row>
    <row r="57" spans="1:8">
      <c r="A57" s="130" t="str">
        <f t="shared" si="1"/>
        <v xml:space="preserve"> </v>
      </c>
      <c r="B57" s="131" t="str">
        <f t="shared" si="2"/>
        <v xml:space="preserve"> </v>
      </c>
      <c r="C57" s="132" t="str">
        <f t="shared" si="4"/>
        <v xml:space="preserve"> </v>
      </c>
      <c r="D57" s="104" t="str">
        <f t="shared" si="0"/>
        <v/>
      </c>
      <c r="E57" s="90"/>
      <c r="F57" s="90"/>
      <c r="G57" s="90"/>
      <c r="H57" s="90"/>
    </row>
    <row r="58" spans="1:8">
      <c r="A58" s="130" t="str">
        <f t="shared" si="1"/>
        <v xml:space="preserve"> </v>
      </c>
      <c r="B58" s="131" t="str">
        <f t="shared" si="2"/>
        <v xml:space="preserve"> </v>
      </c>
      <c r="C58" s="132" t="str">
        <f t="shared" si="4"/>
        <v xml:space="preserve"> </v>
      </c>
      <c r="D58" s="104" t="str">
        <f t="shared" si="0"/>
        <v/>
      </c>
      <c r="E58" s="90"/>
      <c r="F58" s="90"/>
      <c r="G58" s="90"/>
      <c r="H58" s="90"/>
    </row>
    <row r="59" spans="1:8">
      <c r="A59" s="130" t="str">
        <f t="shared" si="1"/>
        <v xml:space="preserve"> </v>
      </c>
      <c r="B59" s="131" t="str">
        <f t="shared" si="2"/>
        <v xml:space="preserve"> </v>
      </c>
      <c r="C59" s="132" t="str">
        <f t="shared" si="4"/>
        <v xml:space="preserve"> </v>
      </c>
      <c r="D59" s="104" t="str">
        <f t="shared" si="0"/>
        <v/>
      </c>
      <c r="E59" s="90"/>
      <c r="F59" s="90"/>
      <c r="G59" s="90"/>
      <c r="H59" s="90"/>
    </row>
    <row r="60" spans="1:8">
      <c r="A60" s="130" t="str">
        <f t="shared" si="1"/>
        <v xml:space="preserve"> </v>
      </c>
      <c r="B60" s="131" t="str">
        <f t="shared" si="2"/>
        <v xml:space="preserve"> </v>
      </c>
      <c r="C60" s="132" t="str">
        <f t="shared" si="4"/>
        <v xml:space="preserve"> </v>
      </c>
      <c r="D60" s="104" t="str">
        <f t="shared" si="0"/>
        <v/>
      </c>
      <c r="E60" s="90"/>
      <c r="F60" s="90"/>
      <c r="G60" s="90"/>
      <c r="H60" s="90"/>
    </row>
    <row r="61" spans="1:8">
      <c r="A61" s="130" t="str">
        <f t="shared" si="1"/>
        <v xml:space="preserve"> </v>
      </c>
      <c r="B61" s="131" t="str">
        <f t="shared" si="2"/>
        <v xml:space="preserve"> </v>
      </c>
      <c r="C61" s="132" t="str">
        <f t="shared" si="4"/>
        <v xml:space="preserve"> </v>
      </c>
      <c r="D61" s="104" t="str">
        <f t="shared" si="0"/>
        <v/>
      </c>
      <c r="E61" s="90"/>
      <c r="F61" s="90"/>
      <c r="G61" s="90"/>
      <c r="H61" s="90"/>
    </row>
    <row r="62" spans="1:8">
      <c r="A62" s="130" t="str">
        <f t="shared" si="1"/>
        <v xml:space="preserve"> </v>
      </c>
      <c r="B62" s="131" t="str">
        <f t="shared" si="2"/>
        <v xml:space="preserve"> </v>
      </c>
      <c r="C62" s="132" t="str">
        <f t="shared" si="4"/>
        <v xml:space="preserve"> </v>
      </c>
      <c r="D62" s="104" t="str">
        <f t="shared" si="0"/>
        <v/>
      </c>
      <c r="E62" s="90"/>
      <c r="F62" s="90"/>
      <c r="G62" s="90"/>
      <c r="H62" s="90"/>
    </row>
    <row r="63" spans="1:8">
      <c r="A63" s="130" t="str">
        <f t="shared" si="1"/>
        <v xml:space="preserve"> </v>
      </c>
      <c r="B63" s="131" t="str">
        <f t="shared" si="2"/>
        <v xml:space="preserve"> </v>
      </c>
      <c r="C63" s="132" t="str">
        <f t="shared" si="4"/>
        <v xml:space="preserve"> </v>
      </c>
      <c r="D63" s="104" t="str">
        <f t="shared" si="0"/>
        <v/>
      </c>
      <c r="E63" s="90"/>
      <c r="F63" s="90"/>
      <c r="G63" s="90"/>
      <c r="H63" s="90"/>
    </row>
    <row r="64" spans="1:8">
      <c r="A64" s="130" t="str">
        <f t="shared" si="1"/>
        <v xml:space="preserve"> </v>
      </c>
      <c r="B64" s="131" t="str">
        <f t="shared" si="2"/>
        <v xml:space="preserve"> </v>
      </c>
      <c r="C64" s="132" t="str">
        <f t="shared" si="4"/>
        <v xml:space="preserve"> </v>
      </c>
      <c r="D64" s="104" t="str">
        <f t="shared" si="0"/>
        <v/>
      </c>
      <c r="E64" s="90"/>
      <c r="F64" s="90"/>
      <c r="G64" s="90"/>
      <c r="H64" s="90"/>
    </row>
    <row r="65" spans="1:8">
      <c r="A65" s="130" t="str">
        <f t="shared" si="1"/>
        <v xml:space="preserve"> </v>
      </c>
      <c r="B65" s="131" t="str">
        <f t="shared" si="2"/>
        <v xml:space="preserve"> </v>
      </c>
      <c r="C65" s="132" t="str">
        <f t="shared" si="4"/>
        <v xml:space="preserve"> </v>
      </c>
      <c r="D65" s="104" t="str">
        <f t="shared" si="0"/>
        <v/>
      </c>
      <c r="E65" s="90"/>
      <c r="F65" s="90"/>
      <c r="G65" s="90"/>
      <c r="H65" s="90"/>
    </row>
    <row r="66" spans="1:8">
      <c r="A66" s="130" t="str">
        <f t="shared" si="1"/>
        <v xml:space="preserve"> </v>
      </c>
      <c r="B66" s="131" t="str">
        <f t="shared" si="2"/>
        <v xml:space="preserve"> </v>
      </c>
      <c r="C66" s="132" t="str">
        <f t="shared" si="4"/>
        <v xml:space="preserve"> </v>
      </c>
      <c r="D66" s="104" t="str">
        <f t="shared" si="0"/>
        <v/>
      </c>
      <c r="E66" s="90"/>
      <c r="F66" s="90"/>
      <c r="G66" s="90"/>
      <c r="H66" s="90"/>
    </row>
    <row r="67" spans="1:8">
      <c r="A67" s="137"/>
      <c r="B67" s="137"/>
      <c r="C67" s="137"/>
      <c r="D67" s="137"/>
      <c r="E67" s="137"/>
      <c r="F67" s="137"/>
      <c r="G67" s="137"/>
      <c r="H67" s="137"/>
    </row>
    <row r="68" spans="1:8">
      <c r="A68" s="137"/>
      <c r="B68" s="137"/>
      <c r="C68" s="137"/>
      <c r="D68" s="137"/>
      <c r="E68" s="137"/>
      <c r="F68" s="137"/>
      <c r="G68" s="137"/>
      <c r="H68" s="137"/>
    </row>
    <row r="69" spans="1:8">
      <c r="A69" s="137"/>
      <c r="B69" s="137"/>
      <c r="C69" s="137"/>
      <c r="D69" s="137"/>
      <c r="G69" s="137"/>
      <c r="H69" s="137"/>
    </row>
  </sheetData>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activeCell="B2" sqref="B2"/>
    </sheetView>
  </sheetViews>
  <sheetFormatPr baseColWidth="10" defaultRowHeight="12.75"/>
  <cols>
    <col min="1" max="1" width="14.28515625" customWidth="1"/>
    <col min="2" max="2" width="12.7109375" customWidth="1"/>
    <col min="4" max="4" width="15.5703125" customWidth="1"/>
    <col min="5" max="5" width="15.42578125" customWidth="1"/>
  </cols>
  <sheetData>
    <row r="1" spans="1:6">
      <c r="A1" s="70"/>
      <c r="B1" s="70"/>
      <c r="C1" s="70"/>
      <c r="D1" s="70"/>
      <c r="E1" s="70"/>
      <c r="F1" s="70"/>
    </row>
    <row r="2" spans="1:6">
      <c r="A2" s="72" t="s">
        <v>349</v>
      </c>
      <c r="B2" s="2">
        <v>1000000</v>
      </c>
      <c r="C2" s="70" t="s">
        <v>352</v>
      </c>
      <c r="D2" s="70"/>
      <c r="E2" s="70"/>
      <c r="F2" s="70"/>
    </row>
    <row r="3" spans="1:6">
      <c r="A3" s="70"/>
      <c r="B3" s="1">
        <f>B2/E3</f>
        <v>787401.57480314956</v>
      </c>
      <c r="C3" s="70" t="s">
        <v>351</v>
      </c>
      <c r="D3" s="70"/>
      <c r="E3" s="337">
        <v>1.27</v>
      </c>
      <c r="F3" s="70"/>
    </row>
    <row r="4" spans="1:6">
      <c r="A4" s="70" t="s">
        <v>539</v>
      </c>
      <c r="B4" s="1">
        <f>B2/D15</f>
        <v>785046.7289719627</v>
      </c>
      <c r="C4" s="70" t="s">
        <v>540</v>
      </c>
      <c r="D4" s="70"/>
      <c r="E4" s="488">
        <f>D15</f>
        <v>1.2738095238095237</v>
      </c>
      <c r="F4" s="70"/>
    </row>
    <row r="5" spans="1:6">
      <c r="A5" s="70"/>
      <c r="B5" s="70"/>
      <c r="C5" s="70"/>
      <c r="D5" s="70"/>
      <c r="E5" s="401"/>
      <c r="F5" s="70"/>
    </row>
    <row r="6" spans="1:6">
      <c r="A6" s="70"/>
      <c r="B6" s="70"/>
      <c r="C6" s="70"/>
      <c r="D6" s="70"/>
      <c r="E6" s="70"/>
      <c r="F6" s="70"/>
    </row>
    <row r="7" spans="1:6">
      <c r="A7" s="71" t="s">
        <v>49</v>
      </c>
      <c r="B7" s="70"/>
      <c r="C7" s="70"/>
      <c r="D7" s="70"/>
      <c r="E7" s="70"/>
      <c r="F7" s="70"/>
    </row>
    <row r="8" spans="1:6">
      <c r="A8" s="70" t="s">
        <v>50</v>
      </c>
      <c r="B8" s="74">
        <v>1.25</v>
      </c>
      <c r="C8" s="70" t="s">
        <v>51</v>
      </c>
      <c r="D8" s="70" t="s">
        <v>350</v>
      </c>
      <c r="E8" s="70"/>
      <c r="F8" s="70"/>
    </row>
    <row r="9" spans="1:6" ht="15" customHeight="1">
      <c r="A9" s="70"/>
      <c r="B9" s="70"/>
      <c r="C9" s="70"/>
      <c r="D9" s="70"/>
      <c r="E9" s="70"/>
      <c r="F9" s="70"/>
    </row>
    <row r="10" spans="1:6" ht="25.5">
      <c r="A10" s="75" t="s">
        <v>19</v>
      </c>
      <c r="B10" s="75" t="s">
        <v>52</v>
      </c>
      <c r="C10" s="75" t="s">
        <v>53</v>
      </c>
      <c r="D10" s="75" t="s">
        <v>54</v>
      </c>
      <c r="E10" s="75" t="s">
        <v>55</v>
      </c>
      <c r="F10" s="70"/>
    </row>
    <row r="11" spans="1:6">
      <c r="A11" s="76">
        <v>8.3333333333333329E-2</v>
      </c>
      <c r="B11" s="77">
        <v>0.04</v>
      </c>
      <c r="C11" s="78">
        <v>0.05</v>
      </c>
      <c r="D11" s="79">
        <f>((1+C11)/(1+B11))^A11*$B$8</f>
        <v>1.2509972153781568</v>
      </c>
      <c r="E11" s="79">
        <f>(1+A11*C11)/(1+A11*B11)*$B$8</f>
        <v>1.2510382059800662</v>
      </c>
      <c r="F11" s="70"/>
    </row>
    <row r="12" spans="1:6">
      <c r="A12" s="76">
        <v>0.16666666666666666</v>
      </c>
      <c r="B12" s="77">
        <v>0.04</v>
      </c>
      <c r="C12" s="77">
        <v>0.06</v>
      </c>
      <c r="D12" s="79">
        <f>((1+C12)/(1+B12))^A12*$B$8</f>
        <v>1.25397467982027</v>
      </c>
      <c r="E12" s="79">
        <f>(1+A12*C12)/(1+A12*B12)*$B$8</f>
        <v>1.2541390728476822</v>
      </c>
      <c r="F12" s="70"/>
    </row>
    <row r="13" spans="1:6">
      <c r="A13" s="76">
        <v>0.25</v>
      </c>
      <c r="B13" s="77">
        <v>0.04</v>
      </c>
      <c r="C13" s="77">
        <v>0.06</v>
      </c>
      <c r="D13" s="79">
        <f>((1+C13)/(1+B13))^A13*$B$8</f>
        <v>1.2559667566456052</v>
      </c>
      <c r="E13" s="79">
        <f>(1+A13*C13)/(1+A13*B13)*$B$8</f>
        <v>1.2561881188118811</v>
      </c>
      <c r="F13" s="70"/>
    </row>
    <row r="14" spans="1:6">
      <c r="A14" s="76">
        <v>0.5</v>
      </c>
      <c r="B14" s="77">
        <v>0.04</v>
      </c>
      <c r="C14" s="77">
        <v>0.06</v>
      </c>
      <c r="D14" s="79">
        <f>((1+C14)/(1+B14))^A14*$B$8</f>
        <v>1.2619619950391046</v>
      </c>
      <c r="E14" s="82">
        <f>(1+A14*C14)/(1+A14*B14)*$B$8</f>
        <v>1.2622549019607843</v>
      </c>
      <c r="F14" s="70"/>
    </row>
    <row r="15" spans="1:6">
      <c r="A15" s="80">
        <v>1</v>
      </c>
      <c r="B15" s="77">
        <v>0.05</v>
      </c>
      <c r="C15" s="77">
        <v>7.0000000000000007E-2</v>
      </c>
      <c r="D15" s="81">
        <f>((1+C15)/(1+B15))^A15*$B$8</f>
        <v>1.2738095238095237</v>
      </c>
      <c r="E15" s="79">
        <f>(1+A15*C15)/(1+A15*B15)*$B$8</f>
        <v>1.2738095238095237</v>
      </c>
      <c r="F15" s="70"/>
    </row>
    <row r="16" spans="1:6">
      <c r="A16" s="80">
        <v>2</v>
      </c>
      <c r="B16" s="77">
        <v>5.5E-2</v>
      </c>
      <c r="C16" s="77">
        <v>7.2499999999999995E-2</v>
      </c>
      <c r="D16" s="79">
        <f t="shared" ref="D16:D24" si="0">((1+C16)/(1+B16))^A16*$B$8</f>
        <v>1.291813133128187</v>
      </c>
      <c r="E16" s="79">
        <f t="shared" ref="E16:E24" si="1">(1+A16*C16)/(1+A16*B16)*$B$8</f>
        <v>1.2894144144144142</v>
      </c>
      <c r="F16" s="70"/>
    </row>
    <row r="17" spans="1:6">
      <c r="A17" s="80">
        <v>3</v>
      </c>
      <c r="B17" s="77">
        <v>0.06</v>
      </c>
      <c r="C17" s="77">
        <v>7.4999999999999997E-2</v>
      </c>
      <c r="D17" s="79">
        <f t="shared" si="0"/>
        <v>1.3038205143759614</v>
      </c>
      <c r="E17" s="79">
        <f t="shared" si="1"/>
        <v>1.2976694915254239</v>
      </c>
      <c r="F17" s="70"/>
    </row>
    <row r="18" spans="1:6">
      <c r="A18" s="80">
        <v>4</v>
      </c>
      <c r="B18" s="77">
        <v>6.5000000000000002E-2</v>
      </c>
      <c r="C18" s="77">
        <v>7.7499999999999999E-2</v>
      </c>
      <c r="D18" s="79">
        <f t="shared" si="0"/>
        <v>1.3097267486671915</v>
      </c>
      <c r="E18" s="79">
        <f t="shared" si="1"/>
        <v>1.2996031746031746</v>
      </c>
      <c r="F18" s="70"/>
    </row>
    <row r="19" spans="1:6">
      <c r="A19" s="80">
        <v>5</v>
      </c>
      <c r="B19" s="77">
        <v>7.0000000000000007E-2</v>
      </c>
      <c r="C19" s="77">
        <f t="shared" ref="C19:C24" si="2">B19+1%</f>
        <v>0.08</v>
      </c>
      <c r="D19" s="79">
        <f t="shared" si="0"/>
        <v>1.3095132648571484</v>
      </c>
      <c r="E19" s="79">
        <f t="shared" si="1"/>
        <v>1.2962962962962963</v>
      </c>
      <c r="F19" s="70"/>
    </row>
    <row r="20" spans="1:6">
      <c r="A20" s="80">
        <v>6</v>
      </c>
      <c r="B20" s="77">
        <v>7.0000000000000007E-2</v>
      </c>
      <c r="C20" s="77">
        <f t="shared" si="2"/>
        <v>0.08</v>
      </c>
      <c r="D20" s="79">
        <f t="shared" si="0"/>
        <v>1.3217517065847852</v>
      </c>
      <c r="E20" s="79">
        <f t="shared" si="1"/>
        <v>1.3028169014084505</v>
      </c>
      <c r="F20" s="70"/>
    </row>
    <row r="21" spans="1:6">
      <c r="A21" s="80">
        <v>7</v>
      </c>
      <c r="B21" s="77">
        <v>7.0000000000000007E-2</v>
      </c>
      <c r="C21" s="77">
        <f t="shared" si="2"/>
        <v>0.08</v>
      </c>
      <c r="D21" s="79">
        <f t="shared" si="0"/>
        <v>1.334104526272494</v>
      </c>
      <c r="E21" s="79">
        <f t="shared" si="1"/>
        <v>1.3087248322147651</v>
      </c>
      <c r="F21" s="70"/>
    </row>
    <row r="22" spans="1:6">
      <c r="A22" s="80">
        <v>8</v>
      </c>
      <c r="B22" s="77">
        <v>7.0000000000000007E-2</v>
      </c>
      <c r="C22" s="77">
        <f t="shared" si="2"/>
        <v>0.08</v>
      </c>
      <c r="D22" s="79">
        <f t="shared" si="0"/>
        <v>1.3465727928731717</v>
      </c>
      <c r="E22" s="79">
        <f t="shared" si="1"/>
        <v>1.3141025641025641</v>
      </c>
      <c r="F22" s="70"/>
    </row>
    <row r="23" spans="1:6">
      <c r="A23" s="80">
        <v>9</v>
      </c>
      <c r="B23" s="77">
        <v>7.0000000000000007E-2</v>
      </c>
      <c r="C23" s="77">
        <f t="shared" si="2"/>
        <v>0.08</v>
      </c>
      <c r="D23" s="79">
        <f t="shared" si="0"/>
        <v>1.3591575853299305</v>
      </c>
      <c r="E23" s="79">
        <f t="shared" si="1"/>
        <v>1.3190184049079754</v>
      </c>
      <c r="F23" s="70"/>
    </row>
    <row r="24" spans="1:6">
      <c r="A24" s="80">
        <v>10</v>
      </c>
      <c r="B24" s="77">
        <v>7.0000000000000007E-2</v>
      </c>
      <c r="C24" s="77">
        <f t="shared" si="2"/>
        <v>0.08</v>
      </c>
      <c r="D24" s="79">
        <f t="shared" si="0"/>
        <v>1.3718599926694623</v>
      </c>
      <c r="E24" s="79">
        <f t="shared" si="1"/>
        <v>1.3235294117647058</v>
      </c>
      <c r="F24" s="70"/>
    </row>
    <row r="25" spans="1:6">
      <c r="A25" s="70"/>
      <c r="B25" s="70"/>
      <c r="C25" s="70"/>
      <c r="D25" s="70"/>
      <c r="E25" s="70"/>
      <c r="F25" s="70"/>
    </row>
  </sheetData>
  <phoneticPr fontId="15" type="noConversion"/>
  <pageMargins left="0.78740157499999996" right="0.78740157499999996" top="0.984251969" bottom="0.984251969" header="0.4921259845" footer="0.4921259845"/>
  <pageSetup paperSize="9" orientation="portrait" horizontalDpi="300" verticalDpi="300" r:id="rId1"/>
  <headerFooter alignWithMargins="0">
    <oddHeader>&amp;A</oddHeader>
    <oddFooter>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B3" sqref="B3"/>
    </sheetView>
  </sheetViews>
  <sheetFormatPr baseColWidth="10" defaultRowHeight="12.75"/>
  <sheetData>
    <row r="1" spans="1:6">
      <c r="A1" s="84" t="s">
        <v>58</v>
      </c>
      <c r="B1" s="70"/>
      <c r="C1" s="70"/>
      <c r="D1" s="70"/>
      <c r="E1" s="70"/>
      <c r="F1" s="70"/>
    </row>
    <row r="2" spans="1:6">
      <c r="A2" s="70"/>
      <c r="B2" s="70"/>
      <c r="C2" s="70"/>
      <c r="D2" s="70"/>
      <c r="E2" s="70"/>
      <c r="F2" s="70"/>
    </row>
    <row r="3" spans="1:6">
      <c r="A3" s="70" t="s">
        <v>57</v>
      </c>
      <c r="B3" s="74">
        <v>50</v>
      </c>
      <c r="C3" s="70"/>
      <c r="D3" s="70"/>
      <c r="E3" s="70"/>
      <c r="F3" s="70"/>
    </row>
    <row r="4" spans="1:6">
      <c r="A4" s="70"/>
      <c r="B4" s="70"/>
      <c r="C4" s="70"/>
      <c r="D4" s="70"/>
      <c r="E4" s="70"/>
      <c r="F4" s="70"/>
    </row>
    <row r="5" spans="1:6">
      <c r="A5" s="70" t="s">
        <v>13</v>
      </c>
      <c r="B5" s="74">
        <v>0.5</v>
      </c>
      <c r="C5" s="70" t="s">
        <v>59</v>
      </c>
      <c r="D5" s="84" t="s">
        <v>65</v>
      </c>
      <c r="E5" s="70"/>
      <c r="F5" s="70"/>
    </row>
    <row r="6" spans="1:6">
      <c r="A6" s="70" t="s">
        <v>60</v>
      </c>
      <c r="B6" s="85">
        <v>0.03</v>
      </c>
      <c r="C6" s="70"/>
      <c r="D6" s="70"/>
      <c r="E6" s="70"/>
      <c r="F6" s="70"/>
    </row>
    <row r="7" spans="1:6">
      <c r="A7" s="70" t="s">
        <v>208</v>
      </c>
      <c r="B7" s="70"/>
      <c r="C7" s="70"/>
      <c r="D7" s="70"/>
      <c r="E7" s="70"/>
      <c r="F7" s="70"/>
    </row>
    <row r="8" spans="1:6">
      <c r="A8" s="70" t="s">
        <v>58</v>
      </c>
      <c r="B8" s="84">
        <f>B3*(1+B5*B6)</f>
        <v>50.749999999999993</v>
      </c>
      <c r="C8" s="70"/>
      <c r="D8" s="70"/>
      <c r="E8" s="70"/>
      <c r="F8" s="70"/>
    </row>
    <row r="9" spans="1:6">
      <c r="A9" s="70"/>
      <c r="B9" s="70"/>
      <c r="C9" s="70"/>
      <c r="D9" s="70"/>
      <c r="E9" s="70"/>
      <c r="F9" s="70"/>
    </row>
  </sheetData>
  <phoneticPr fontId="15" type="noConversion"/>
  <pageMargins left="0.78740157499999996" right="0.78740157499999996" top="0.984251969" bottom="0.984251969" header="0.4921259845" footer="0.4921259845"/>
  <headerFooter alignWithMargins="0">
    <oddHeader>&amp;A</oddHeader>
    <oddFooter>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53</vt:i4>
      </vt:variant>
      <vt:variant>
        <vt:lpstr>Benannte Bereiche</vt:lpstr>
      </vt:variant>
      <vt:variant>
        <vt:i4>4</vt:i4>
      </vt:variant>
    </vt:vector>
  </HeadingPairs>
  <TitlesOfParts>
    <vt:vector size="57" baseType="lpstr">
      <vt:lpstr>Übersicht</vt:lpstr>
      <vt:lpstr>Beisp. 10.2.1</vt:lpstr>
      <vt:lpstr>Beisp. 10.2.2</vt:lpstr>
      <vt:lpstr>Beisp. 10.2.3</vt:lpstr>
      <vt:lpstr>Beisp. 10.3.1</vt:lpstr>
      <vt:lpstr>Beisp. 10.3.2a</vt:lpstr>
      <vt:lpstr>Beisp. 10.3.2b</vt:lpstr>
      <vt:lpstr>Beisp. 10.3.3</vt:lpstr>
      <vt:lpstr>Beisp. 10.3.4</vt:lpstr>
      <vt:lpstr>Beisp. 10.3.5</vt:lpstr>
      <vt:lpstr>Beisp. 10.3.6a</vt:lpstr>
      <vt:lpstr>Beisp. 10.3.6b</vt:lpstr>
      <vt:lpstr>Beisp. 10.4.1</vt:lpstr>
      <vt:lpstr>Beisp. 10.4.3a</vt:lpstr>
      <vt:lpstr>Beisp. 10.4.3b</vt:lpstr>
      <vt:lpstr>Beisp. 10.4.4</vt:lpstr>
      <vt:lpstr>Beisp. 10.4.5</vt:lpstr>
      <vt:lpstr>Beisp. 10.4.6 (CRR, n=3)</vt:lpstr>
      <vt:lpstr>Beisp. 10.4.6 (CRR, n=5) Zusatz</vt:lpstr>
      <vt:lpstr>Beisp. 10.4.7</vt:lpstr>
      <vt:lpstr>Wiener-Prozess</vt:lpstr>
      <vt:lpstr>Beisp. 10.4.8</vt:lpstr>
      <vt:lpstr>Optionen Zusatz</vt:lpstr>
      <vt:lpstr>Zusatzbsp. Devisenoption</vt:lpstr>
      <vt:lpstr>Beisp. 10.5.1</vt:lpstr>
      <vt:lpstr>Beisp. 10.5.1 Zusatz</vt:lpstr>
      <vt:lpstr>Beisp. 10.6.1</vt:lpstr>
      <vt:lpstr>Beisp. 10.6.2</vt:lpstr>
      <vt:lpstr>Zinssatz</vt:lpstr>
      <vt:lpstr>Beispiel 10.6.3 (Zusatz Cap)</vt:lpstr>
      <vt:lpstr>Beispiel 10.6.3 (Zusatz Floor )</vt:lpstr>
      <vt:lpstr>Beispiel 10.6.4 (Zusatz)</vt:lpstr>
      <vt:lpstr>Beisp. 10.7.1</vt:lpstr>
      <vt:lpstr>Beisp. 10.7.3</vt:lpstr>
      <vt:lpstr>Beisp. 10.8.1</vt:lpstr>
      <vt:lpstr>Aufg. 10.2</vt:lpstr>
      <vt:lpstr>Aufg. 10.3</vt:lpstr>
      <vt:lpstr>Aufg. 10.4</vt:lpstr>
      <vt:lpstr>Aufg. 10.5</vt:lpstr>
      <vt:lpstr>Aufg. 10.6</vt:lpstr>
      <vt:lpstr>Aufg. 10.7</vt:lpstr>
      <vt:lpstr>Aufg. 10.8a</vt:lpstr>
      <vt:lpstr>Aufg. 10.8b</vt:lpstr>
      <vt:lpstr>Aufg. 10.8c</vt:lpstr>
      <vt:lpstr>Aufg. 10.9</vt:lpstr>
      <vt:lpstr>Aufg. 10.10</vt:lpstr>
      <vt:lpstr>Aufg. 10.11</vt:lpstr>
      <vt:lpstr>Aufg. 10.12</vt:lpstr>
      <vt:lpstr>Aufg. 10.13</vt:lpstr>
      <vt:lpstr>Aufg. 10.14</vt:lpstr>
      <vt:lpstr>Aufg. 10.15</vt:lpstr>
      <vt:lpstr>Aufg. 10.16-10.18</vt:lpstr>
      <vt:lpstr>Aufg. 10.19</vt:lpstr>
      <vt:lpstr>_C</vt:lpstr>
      <vt:lpstr>h</vt:lpstr>
      <vt:lpstr>Spot</vt:lpstr>
      <vt:lpstr>x</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Praktische Finanzmathematik</dc:title>
  <dc:subject>Kapitel 10</dc:subject>
  <dc:creator>ap</dc:creator>
  <cp:lastModifiedBy>ap</cp:lastModifiedBy>
  <dcterms:created xsi:type="dcterms:W3CDTF">1999-10-26T15:31:30Z</dcterms:created>
  <dcterms:modified xsi:type="dcterms:W3CDTF">2016-02-15T11:06:19Z</dcterms:modified>
</cp:coreProperties>
</file>